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907"/>
  <workbookPr filterPrivacy="1" autoCompressPictures="0"/>
  <mc:AlternateContent xmlns:mc="http://schemas.openxmlformats.org/markup-compatibility/2006">
    <mc:Choice Requires="x15">
      <x15ac:absPath xmlns:x15ac="http://schemas.microsoft.com/office/spreadsheetml/2010/11/ac" url="/Users/ootsukajunichi/Library/Mobile Documents/com~apple~CloudDocs/"/>
    </mc:Choice>
  </mc:AlternateContent>
  <bookViews>
    <workbookView xWindow="0" yWindow="460" windowWidth="21120" windowHeight="13740" tabRatio="792"/>
  </bookViews>
  <sheets>
    <sheet name="入力" sheetId="2" r:id="rId1"/>
    <sheet name="成長曲線" sheetId="4" r:id="rId2"/>
    <sheet name="成長速度" sheetId="3" r:id="rId3"/>
    <sheet name="BMI" sheetId="11" r:id="rId4"/>
    <sheet name="肥満判定度曲線" sheetId="15" r:id="rId5"/>
    <sheet name="頭囲" sheetId="21" r:id="rId6"/>
    <sheet name="胸囲" sheetId="29" r:id="rId7"/>
    <sheet name="成長曲線_データ" sheetId="1" state="hidden" r:id="rId8"/>
    <sheet name="StdBW" sheetId="13" state="hidden" r:id="rId9"/>
    <sheet name="肥満曲線_データ" sheetId="14" state="hidden" r:id="rId10"/>
    <sheet name="LMS" sheetId="12" state="hidden" r:id="rId11"/>
    <sheet name="成長曲線_男" sheetId="10" state="hidden" r:id="rId12"/>
    <sheet name="成長曲線_女" sheetId="7" state="hidden" r:id="rId13"/>
    <sheet name="頭囲データ" sheetId="20" state="hidden" r:id="rId14"/>
    <sheet name="頭囲_男" sheetId="16" state="hidden" r:id="rId15"/>
    <sheet name="頭囲_女" sheetId="18" state="hidden" r:id="rId16"/>
    <sheet name="胸囲データ" sheetId="26" state="hidden" r:id="rId17"/>
    <sheet name="胸囲_男" sheetId="27" state="hidden" r:id="rId18"/>
    <sheet name="胸囲_女" sheetId="28" state="hidden" r:id="rId19"/>
  </sheets>
  <definedNames>
    <definedName name="BMI_L">LMS!$C$4:$H$11</definedName>
    <definedName name="BMI_M">LMS!$C$20:$H$32</definedName>
    <definedName name="BMI_S">LMS!$C$13:$H$18</definedName>
    <definedName name="ito">StdBW!$G$3:$O$13</definedName>
    <definedName name="muratafemale">StdBW!$B$18:$D$30</definedName>
    <definedName name="muratamale">StdBW!$B$4:$D$16</definedName>
    <definedName name="_xlnm.Print_Area" localSheetId="0">入力!$A:$T</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2" i="12" l="1"/>
  <c r="E31" i="12"/>
  <c r="E30" i="12"/>
  <c r="E25" i="12"/>
  <c r="E24" i="12"/>
  <c r="E23" i="12"/>
  <c r="F18" i="12"/>
  <c r="E18" i="12"/>
  <c r="F17" i="12"/>
  <c r="E17" i="12"/>
  <c r="F15" i="12"/>
  <c r="E15" i="12"/>
  <c r="F14" i="12"/>
  <c r="E14" i="12"/>
  <c r="E11" i="12"/>
  <c r="E10" i="12"/>
  <c r="F9" i="12"/>
  <c r="E9" i="12"/>
  <c r="E7" i="12"/>
  <c r="E6" i="12"/>
  <c r="G5" i="12"/>
  <c r="F5" i="12"/>
  <c r="E5" i="12"/>
  <c r="N10" i="13"/>
  <c r="M10" i="13"/>
  <c r="N4" i="13"/>
  <c r="M4" i="13"/>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H27" i="28"/>
  <c r="H28" i="28"/>
  <c r="H29" i="28"/>
  <c r="H30" i="28"/>
  <c r="H31" i="28"/>
  <c r="H32" i="28"/>
  <c r="H33" i="28"/>
  <c r="H34" i="28"/>
  <c r="H35" i="28"/>
  <c r="C28" i="28"/>
  <c r="C27" i="28"/>
  <c r="C26" i="28"/>
  <c r="C25" i="28"/>
  <c r="C24" i="28"/>
  <c r="C23" i="28"/>
  <c r="C22" i="28"/>
  <c r="C21" i="28"/>
  <c r="C20" i="28"/>
  <c r="C19" i="28"/>
  <c r="C18" i="28"/>
  <c r="C17" i="28"/>
  <c r="C16" i="28"/>
  <c r="C15" i="28"/>
  <c r="C14" i="28"/>
  <c r="C13" i="28"/>
  <c r="C12" i="28"/>
  <c r="C11" i="28"/>
  <c r="C10" i="28"/>
  <c r="C9" i="28"/>
  <c r="C8" i="28"/>
  <c r="C7" i="28"/>
  <c r="C6" i="28"/>
  <c r="C5" i="28"/>
  <c r="H4" i="28"/>
  <c r="H5" i="28"/>
  <c r="H6" i="28"/>
  <c r="H7" i="28"/>
  <c r="H8" i="28"/>
  <c r="H9" i="28"/>
  <c r="H10" i="28"/>
  <c r="H11" i="28"/>
  <c r="H12" i="28"/>
  <c r="H13" i="28"/>
  <c r="H14" i="28"/>
  <c r="H15" i="28"/>
  <c r="H16" i="28"/>
  <c r="H17" i="28"/>
  <c r="H18" i="28"/>
  <c r="H19" i="28"/>
  <c r="H20" i="28"/>
  <c r="H21" i="28"/>
  <c r="H22" i="28"/>
  <c r="H23" i="28"/>
  <c r="H24" i="28"/>
  <c r="H25" i="28"/>
  <c r="H26" i="28"/>
  <c r="C4" i="28"/>
  <c r="H3" i="28"/>
  <c r="C3" i="28"/>
  <c r="C2" i="28"/>
  <c r="C85" i="27"/>
  <c r="C84" i="27"/>
  <c r="C83" i="27"/>
  <c r="C82" i="27"/>
  <c r="C81" i="27"/>
  <c r="C80" i="27"/>
  <c r="C79" i="27"/>
  <c r="C78" i="27"/>
  <c r="C77" i="27"/>
  <c r="C76" i="27"/>
  <c r="C75" i="27"/>
  <c r="C74" i="27"/>
  <c r="C73" i="27"/>
  <c r="C72" i="27"/>
  <c r="C71" i="27"/>
  <c r="C70" i="27"/>
  <c r="C69" i="27"/>
  <c r="C68" i="27"/>
  <c r="C67" i="27"/>
  <c r="C66" i="27"/>
  <c r="C65" i="27"/>
  <c r="C64" i="27"/>
  <c r="C63" i="27"/>
  <c r="C62" i="27"/>
  <c r="C61" i="27"/>
  <c r="C60" i="27"/>
  <c r="C59" i="27"/>
  <c r="C58" i="27"/>
  <c r="C57" i="27"/>
  <c r="C56" i="27"/>
  <c r="C55" i="27"/>
  <c r="C54" i="27"/>
  <c r="C53" i="27"/>
  <c r="C52" i="27"/>
  <c r="C51" i="27"/>
  <c r="C50" i="27"/>
  <c r="C49" i="27"/>
  <c r="C48" i="27"/>
  <c r="C47" i="27"/>
  <c r="C46" i="27"/>
  <c r="C45" i="27"/>
  <c r="C44" i="27"/>
  <c r="C43" i="27"/>
  <c r="C42" i="27"/>
  <c r="C41" i="27"/>
  <c r="C40" i="27"/>
  <c r="C39" i="27"/>
  <c r="C38" i="27"/>
  <c r="C37" i="27"/>
  <c r="C36" i="27"/>
  <c r="C35" i="27"/>
  <c r="C34" i="27"/>
  <c r="C33" i="27"/>
  <c r="C32" i="27"/>
  <c r="C31" i="27"/>
  <c r="C30" i="27"/>
  <c r="C29" i="27"/>
  <c r="C28" i="27"/>
  <c r="H27" i="27"/>
  <c r="H28" i="27"/>
  <c r="H29" i="27"/>
  <c r="H30" i="27"/>
  <c r="H31" i="27"/>
  <c r="H32" i="27"/>
  <c r="H33" i="27"/>
  <c r="H34" i="27"/>
  <c r="H35" i="27"/>
  <c r="C27" i="27"/>
  <c r="C26" i="27"/>
  <c r="C25" i="27"/>
  <c r="C24" i="27"/>
  <c r="C23" i="27"/>
  <c r="C22" i="27"/>
  <c r="C21" i="27"/>
  <c r="C20" i="27"/>
  <c r="C19" i="27"/>
  <c r="C18" i="27"/>
  <c r="C17" i="27"/>
  <c r="C16" i="27"/>
  <c r="C15" i="27"/>
  <c r="C14" i="27"/>
  <c r="C13" i="27"/>
  <c r="C12" i="27"/>
  <c r="C11" i="27"/>
  <c r="C10" i="27"/>
  <c r="C9" i="27"/>
  <c r="C8" i="27"/>
  <c r="C7" i="27"/>
  <c r="C6" i="27"/>
  <c r="H4" i="27"/>
  <c r="H5" i="27"/>
  <c r="H6" i="27"/>
  <c r="H7" i="27"/>
  <c r="H8" i="27"/>
  <c r="H9" i="27"/>
  <c r="H10" i="27"/>
  <c r="H11" i="27"/>
  <c r="H12" i="27"/>
  <c r="H13" i="27"/>
  <c r="H14" i="27"/>
  <c r="H15" i="27"/>
  <c r="H16" i="27"/>
  <c r="H17" i="27"/>
  <c r="H18" i="27"/>
  <c r="H19" i="27"/>
  <c r="H20" i="27"/>
  <c r="H21" i="27"/>
  <c r="H22" i="27"/>
  <c r="H23" i="27"/>
  <c r="H24" i="27"/>
  <c r="H25" i="27"/>
  <c r="H26" i="27"/>
  <c r="C5" i="27"/>
  <c r="C4" i="27"/>
  <c r="H3" i="27"/>
  <c r="C3" i="27"/>
  <c r="C2" i="27"/>
  <c r="T18" i="26"/>
  <c r="A7" i="26"/>
  <c r="A6" i="26"/>
  <c r="W18" i="26"/>
  <c r="V18" i="26"/>
  <c r="U18" i="26"/>
  <c r="W17" i="26"/>
  <c r="V17" i="26"/>
  <c r="U17" i="26"/>
  <c r="T17" i="26"/>
  <c r="W16" i="26"/>
  <c r="V16" i="26"/>
  <c r="U16" i="26"/>
  <c r="T16" i="26"/>
  <c r="W15" i="26"/>
  <c r="V15" i="26"/>
  <c r="U15" i="26"/>
  <c r="T15" i="26"/>
  <c r="W14" i="26"/>
  <c r="V14" i="26"/>
  <c r="U14" i="26"/>
  <c r="T14" i="26"/>
  <c r="W13" i="26"/>
  <c r="V13" i="26"/>
  <c r="U13" i="26"/>
  <c r="T13" i="26"/>
  <c r="W12" i="26"/>
  <c r="V12" i="26"/>
  <c r="U12" i="26"/>
  <c r="T12" i="26"/>
  <c r="W11" i="26"/>
  <c r="V11" i="26"/>
  <c r="U11" i="26"/>
  <c r="T11" i="26"/>
  <c r="W10" i="26"/>
  <c r="V10" i="26"/>
  <c r="U10" i="26"/>
  <c r="T10" i="26"/>
  <c r="C69" i="26"/>
  <c r="D77" i="26"/>
  <c r="E85" i="26"/>
  <c r="C68" i="26"/>
  <c r="D76" i="26"/>
  <c r="E84" i="26"/>
  <c r="C67" i="26"/>
  <c r="D75" i="26"/>
  <c r="E83" i="26"/>
  <c r="C66" i="26"/>
  <c r="D74" i="26"/>
  <c r="E82" i="26"/>
  <c r="C65" i="26"/>
  <c r="D73" i="26"/>
  <c r="E81" i="26"/>
  <c r="C64" i="26"/>
  <c r="D72" i="26"/>
  <c r="E80" i="26"/>
  <c r="C63" i="26"/>
  <c r="D71" i="26"/>
  <c r="E79" i="26"/>
  <c r="C62" i="26"/>
  <c r="D70" i="26"/>
  <c r="E78" i="26"/>
  <c r="C61" i="26"/>
  <c r="D69" i="26"/>
  <c r="E77" i="26"/>
  <c r="C60" i="26"/>
  <c r="D68" i="26"/>
  <c r="E76" i="26"/>
  <c r="C59" i="26"/>
  <c r="D67" i="26"/>
  <c r="E75" i="26"/>
  <c r="C58" i="26"/>
  <c r="D66" i="26"/>
  <c r="E74" i="26"/>
  <c r="C57" i="26"/>
  <c r="D65" i="26"/>
  <c r="E73" i="26"/>
  <c r="C56" i="26"/>
  <c r="D64" i="26"/>
  <c r="E72" i="26"/>
  <c r="C55" i="26"/>
  <c r="D63" i="26"/>
  <c r="E71" i="26"/>
  <c r="C54" i="26"/>
  <c r="D62" i="26"/>
  <c r="E70" i="26"/>
  <c r="C53" i="26"/>
  <c r="D61" i="26"/>
  <c r="E69" i="26"/>
  <c r="C52" i="26"/>
  <c r="D60" i="26"/>
  <c r="E68" i="26"/>
  <c r="C51" i="26"/>
  <c r="D59" i="26"/>
  <c r="E67" i="26"/>
  <c r="C50" i="26"/>
  <c r="D58" i="26"/>
  <c r="E66" i="26"/>
  <c r="C49" i="26"/>
  <c r="D57" i="26"/>
  <c r="E65" i="26"/>
  <c r="C48" i="26"/>
  <c r="D56" i="26"/>
  <c r="E64" i="26"/>
  <c r="C47" i="26"/>
  <c r="D55" i="26"/>
  <c r="E63" i="26"/>
  <c r="C46" i="26"/>
  <c r="D54" i="26"/>
  <c r="E62" i="26"/>
  <c r="C45" i="26"/>
  <c r="D53" i="26"/>
  <c r="E61" i="26"/>
  <c r="C44" i="26"/>
  <c r="D52" i="26"/>
  <c r="E60" i="26"/>
  <c r="C43" i="26"/>
  <c r="D51" i="26"/>
  <c r="E59" i="26"/>
  <c r="C42" i="26"/>
  <c r="D50" i="26"/>
  <c r="E58" i="26"/>
  <c r="C41" i="26"/>
  <c r="D49" i="26"/>
  <c r="E57" i="26"/>
  <c r="C40" i="26"/>
  <c r="D48" i="26"/>
  <c r="E56" i="26"/>
  <c r="C39" i="26"/>
  <c r="D47" i="26"/>
  <c r="E55" i="26"/>
  <c r="C38" i="26"/>
  <c r="D46" i="26"/>
  <c r="E54" i="26"/>
  <c r="C37" i="26"/>
  <c r="D45" i="26"/>
  <c r="E53" i="26"/>
  <c r="C36" i="26"/>
  <c r="D44" i="26"/>
  <c r="E52" i="26"/>
  <c r="C35" i="26"/>
  <c r="D43" i="26"/>
  <c r="E51" i="26"/>
  <c r="C34" i="26"/>
  <c r="D42" i="26"/>
  <c r="E50" i="26"/>
  <c r="C33" i="26"/>
  <c r="D41" i="26"/>
  <c r="E49" i="26"/>
  <c r="C32" i="26"/>
  <c r="D40" i="26"/>
  <c r="E48" i="26"/>
  <c r="C31" i="26"/>
  <c r="D39" i="26"/>
  <c r="E47" i="26"/>
  <c r="C30" i="26"/>
  <c r="D38" i="26"/>
  <c r="E46" i="26"/>
  <c r="C29" i="26"/>
  <c r="D37" i="26"/>
  <c r="E45" i="26"/>
  <c r="C28" i="26"/>
  <c r="D36" i="26"/>
  <c r="E44" i="26"/>
  <c r="C27" i="26"/>
  <c r="D35" i="26"/>
  <c r="E43" i="26"/>
  <c r="C26" i="26"/>
  <c r="D34" i="26"/>
  <c r="E42" i="26"/>
  <c r="C25" i="26"/>
  <c r="D33" i="26"/>
  <c r="E41" i="26"/>
  <c r="C24" i="26"/>
  <c r="D32" i="26"/>
  <c r="E40" i="26"/>
  <c r="C23" i="26"/>
  <c r="D31" i="26"/>
  <c r="E39" i="26"/>
  <c r="C22" i="26"/>
  <c r="D30" i="26"/>
  <c r="E38" i="26"/>
  <c r="C21" i="26"/>
  <c r="D29" i="26"/>
  <c r="E37" i="26"/>
  <c r="C20" i="26"/>
  <c r="D28" i="26"/>
  <c r="E36" i="26"/>
  <c r="C19" i="26"/>
  <c r="D27" i="26"/>
  <c r="E35" i="26"/>
  <c r="C18" i="26"/>
  <c r="D26" i="26"/>
  <c r="E34" i="26"/>
  <c r="C17" i="26"/>
  <c r="D25" i="26"/>
  <c r="E33" i="26"/>
  <c r="C16" i="26"/>
  <c r="D24" i="26"/>
  <c r="E32" i="26"/>
  <c r="C15" i="26"/>
  <c r="D23" i="26"/>
  <c r="E31" i="26"/>
  <c r="C14" i="26"/>
  <c r="D22" i="26"/>
  <c r="E30" i="26"/>
  <c r="C13" i="26"/>
  <c r="D21" i="26"/>
  <c r="E29" i="26"/>
  <c r="C12" i="26"/>
  <c r="D20" i="26"/>
  <c r="E28" i="26"/>
  <c r="C11" i="26"/>
  <c r="D19" i="26"/>
  <c r="E27" i="26"/>
  <c r="C10" i="26"/>
  <c r="D18" i="26"/>
  <c r="E26" i="26"/>
  <c r="D17" i="26"/>
  <c r="E25" i="26"/>
  <c r="D16" i="26"/>
  <c r="E24" i="26"/>
  <c r="D15" i="26"/>
  <c r="E23" i="26"/>
  <c r="D14" i="26"/>
  <c r="E22" i="26"/>
  <c r="D13" i="26"/>
  <c r="E21" i="26"/>
  <c r="D12" i="26"/>
  <c r="E20" i="26"/>
  <c r="D11" i="26"/>
  <c r="E19" i="26"/>
  <c r="D10" i="26"/>
  <c r="E18" i="26"/>
  <c r="E17" i="26"/>
  <c r="E16" i="26"/>
  <c r="E15" i="26"/>
  <c r="E14" i="26"/>
  <c r="E13" i="26"/>
  <c r="E12" i="26"/>
  <c r="E11" i="26"/>
  <c r="E10" i="26"/>
  <c r="C77" i="26"/>
  <c r="D85" i="26"/>
  <c r="C76" i="26"/>
  <c r="D84" i="26"/>
  <c r="C75" i="26"/>
  <c r="D83" i="26"/>
  <c r="C74" i="26"/>
  <c r="D82" i="26"/>
  <c r="C73" i="26"/>
  <c r="D81" i="26"/>
  <c r="C72" i="26"/>
  <c r="D80" i="26"/>
  <c r="C71" i="26"/>
  <c r="D79" i="26"/>
  <c r="C70" i="26"/>
  <c r="D78" i="26"/>
  <c r="O48" i="26"/>
  <c r="N48" i="26"/>
  <c r="M48" i="26"/>
  <c r="L48" i="26"/>
  <c r="K48" i="26"/>
  <c r="J48" i="26"/>
  <c r="I48" i="26"/>
  <c r="O47" i="26"/>
  <c r="N47" i="26"/>
  <c r="M47" i="26"/>
  <c r="L47" i="26"/>
  <c r="K47" i="26"/>
  <c r="J47" i="26"/>
  <c r="I47" i="26"/>
  <c r="O46" i="26"/>
  <c r="N46" i="26"/>
  <c r="M46" i="26"/>
  <c r="L46" i="26"/>
  <c r="K46" i="26"/>
  <c r="J46" i="26"/>
  <c r="I46" i="26"/>
  <c r="O45" i="26"/>
  <c r="N45" i="26"/>
  <c r="M45" i="26"/>
  <c r="L45" i="26"/>
  <c r="K45" i="26"/>
  <c r="J45" i="26"/>
  <c r="I45" i="26"/>
  <c r="O44" i="26"/>
  <c r="N44" i="26"/>
  <c r="M44" i="26"/>
  <c r="L44" i="26"/>
  <c r="K44" i="26"/>
  <c r="J44" i="26"/>
  <c r="I44" i="26"/>
  <c r="O43" i="26"/>
  <c r="N43" i="26"/>
  <c r="M43" i="26"/>
  <c r="L43" i="26"/>
  <c r="K43" i="26"/>
  <c r="J43" i="26"/>
  <c r="I43" i="26"/>
  <c r="O42" i="26"/>
  <c r="N42" i="26"/>
  <c r="M42" i="26"/>
  <c r="L42" i="26"/>
  <c r="K42" i="26"/>
  <c r="J42" i="26"/>
  <c r="I42" i="26"/>
  <c r="O41" i="26"/>
  <c r="N41" i="26"/>
  <c r="M41" i="26"/>
  <c r="L41" i="26"/>
  <c r="K41" i="26"/>
  <c r="J41" i="26"/>
  <c r="I41" i="26"/>
  <c r="O40" i="26"/>
  <c r="N40" i="26"/>
  <c r="M40" i="26"/>
  <c r="L40" i="26"/>
  <c r="K40" i="26"/>
  <c r="J40" i="26"/>
  <c r="I40" i="26"/>
  <c r="O39" i="26"/>
  <c r="N39" i="26"/>
  <c r="M39" i="26"/>
  <c r="L39" i="26"/>
  <c r="K39" i="26"/>
  <c r="J39" i="26"/>
  <c r="I39" i="26"/>
  <c r="O38" i="26"/>
  <c r="N38" i="26"/>
  <c r="M38" i="26"/>
  <c r="L38" i="26"/>
  <c r="K38" i="26"/>
  <c r="J38" i="26"/>
  <c r="I38" i="26"/>
  <c r="O37" i="26"/>
  <c r="N37" i="26"/>
  <c r="M37" i="26"/>
  <c r="L37" i="26"/>
  <c r="K37" i="26"/>
  <c r="J37" i="26"/>
  <c r="I37" i="26"/>
  <c r="O36" i="26"/>
  <c r="N36" i="26"/>
  <c r="M36" i="26"/>
  <c r="L36" i="26"/>
  <c r="K36" i="26"/>
  <c r="J36" i="26"/>
  <c r="I36" i="26"/>
  <c r="O35" i="26"/>
  <c r="N35" i="26"/>
  <c r="M35" i="26"/>
  <c r="L35" i="26"/>
  <c r="K35" i="26"/>
  <c r="J35" i="26"/>
  <c r="I35" i="26"/>
  <c r="O34" i="26"/>
  <c r="N34" i="26"/>
  <c r="M34" i="26"/>
  <c r="L34" i="26"/>
  <c r="K34" i="26"/>
  <c r="J34" i="26"/>
  <c r="I34" i="26"/>
  <c r="O33" i="26"/>
  <c r="N33" i="26"/>
  <c r="M33" i="26"/>
  <c r="L33" i="26"/>
  <c r="K33" i="26"/>
  <c r="J33" i="26"/>
  <c r="I33" i="26"/>
  <c r="O32" i="26"/>
  <c r="N32" i="26"/>
  <c r="M32" i="26"/>
  <c r="L32" i="26"/>
  <c r="K32" i="26"/>
  <c r="J32" i="26"/>
  <c r="I32" i="26"/>
  <c r="O31" i="26"/>
  <c r="N31" i="26"/>
  <c r="M31" i="26"/>
  <c r="L31" i="26"/>
  <c r="K31" i="26"/>
  <c r="J31" i="26"/>
  <c r="I31" i="26"/>
  <c r="O30" i="26"/>
  <c r="N30" i="26"/>
  <c r="M30" i="26"/>
  <c r="L30" i="26"/>
  <c r="K30" i="26"/>
  <c r="J30" i="26"/>
  <c r="I30" i="26"/>
  <c r="O29" i="26"/>
  <c r="N29" i="26"/>
  <c r="M29" i="26"/>
  <c r="L29" i="26"/>
  <c r="K29" i="26"/>
  <c r="J29" i="26"/>
  <c r="I29" i="26"/>
  <c r="O28" i="26"/>
  <c r="N28" i="26"/>
  <c r="M28" i="26"/>
  <c r="L28" i="26"/>
  <c r="K28" i="26"/>
  <c r="J28" i="26"/>
  <c r="I28" i="26"/>
  <c r="O27" i="26"/>
  <c r="N27" i="26"/>
  <c r="M27" i="26"/>
  <c r="L27" i="26"/>
  <c r="K27" i="26"/>
  <c r="J27" i="26"/>
  <c r="I27" i="26"/>
  <c r="O24" i="26"/>
  <c r="N24" i="26"/>
  <c r="M24" i="26"/>
  <c r="L24" i="26"/>
  <c r="K24" i="26"/>
  <c r="J24" i="26"/>
  <c r="I24" i="26"/>
  <c r="O23" i="26"/>
  <c r="N23" i="26"/>
  <c r="M23" i="26"/>
  <c r="L23" i="26"/>
  <c r="K23" i="26"/>
  <c r="J23" i="26"/>
  <c r="I23" i="26"/>
  <c r="O22" i="26"/>
  <c r="N22" i="26"/>
  <c r="M22" i="26"/>
  <c r="L22" i="26"/>
  <c r="K22" i="26"/>
  <c r="J22" i="26"/>
  <c r="I22" i="26"/>
  <c r="O21" i="26"/>
  <c r="N21" i="26"/>
  <c r="M21" i="26"/>
  <c r="L21" i="26"/>
  <c r="K21" i="26"/>
  <c r="J21" i="26"/>
  <c r="I21" i="26"/>
  <c r="O20" i="26"/>
  <c r="N20" i="26"/>
  <c r="M20" i="26"/>
  <c r="L20" i="26"/>
  <c r="K20" i="26"/>
  <c r="J20" i="26"/>
  <c r="I20" i="26"/>
  <c r="O19" i="26"/>
  <c r="N19" i="26"/>
  <c r="M19" i="26"/>
  <c r="L19" i="26"/>
  <c r="K19" i="26"/>
  <c r="J19" i="26"/>
  <c r="I19" i="26"/>
  <c r="O18" i="26"/>
  <c r="N18" i="26"/>
  <c r="M18" i="26"/>
  <c r="L18" i="26"/>
  <c r="K18" i="26"/>
  <c r="J18" i="26"/>
  <c r="I18" i="26"/>
  <c r="O17" i="26"/>
  <c r="N17" i="26"/>
  <c r="M17" i="26"/>
  <c r="L17" i="26"/>
  <c r="K17" i="26"/>
  <c r="J17" i="26"/>
  <c r="I17" i="26"/>
  <c r="O16" i="26"/>
  <c r="N16" i="26"/>
  <c r="M16" i="26"/>
  <c r="L16" i="26"/>
  <c r="K16" i="26"/>
  <c r="J16" i="26"/>
  <c r="I16" i="26"/>
  <c r="O15" i="26"/>
  <c r="N15" i="26"/>
  <c r="M15" i="26"/>
  <c r="L15" i="26"/>
  <c r="K15" i="26"/>
  <c r="J15" i="26"/>
  <c r="I15" i="26"/>
  <c r="O14" i="26"/>
  <c r="N14" i="26"/>
  <c r="M14" i="26"/>
  <c r="L14" i="26"/>
  <c r="K14" i="26"/>
  <c r="J14" i="26"/>
  <c r="I14" i="26"/>
  <c r="O13" i="26"/>
  <c r="N13" i="26"/>
  <c r="M13" i="26"/>
  <c r="L13" i="26"/>
  <c r="K13" i="26"/>
  <c r="J13" i="26"/>
  <c r="I13" i="26"/>
  <c r="O12" i="26"/>
  <c r="N12" i="26"/>
  <c r="M12" i="26"/>
  <c r="L12" i="26"/>
  <c r="K12" i="26"/>
  <c r="J12" i="26"/>
  <c r="I12" i="26"/>
  <c r="O11" i="26"/>
  <c r="N11" i="26"/>
  <c r="M11" i="26"/>
  <c r="L11" i="26"/>
  <c r="K11" i="26"/>
  <c r="J11" i="26"/>
  <c r="I11" i="26"/>
  <c r="O10" i="26"/>
  <c r="N10" i="26"/>
  <c r="M10" i="26"/>
  <c r="L10" i="26"/>
  <c r="K10" i="26"/>
  <c r="J10" i="26"/>
  <c r="I10" i="26"/>
  <c r="C85" i="26"/>
  <c r="C84" i="26"/>
  <c r="C83" i="26"/>
  <c r="C82" i="26"/>
  <c r="C81" i="26"/>
  <c r="C80" i="26"/>
  <c r="C79" i="26"/>
  <c r="C78" i="26"/>
  <c r="H40" i="26"/>
  <c r="H41" i="26"/>
  <c r="H42" i="26"/>
  <c r="H43" i="26"/>
  <c r="H44" i="26"/>
  <c r="H45" i="26"/>
  <c r="H46" i="26"/>
  <c r="H47" i="26"/>
  <c r="H48" i="26"/>
  <c r="H27" i="26"/>
  <c r="H28" i="26"/>
  <c r="H29" i="26"/>
  <c r="H30" i="26"/>
  <c r="H31" i="26"/>
  <c r="H32" i="26"/>
  <c r="H33" i="26"/>
  <c r="H34" i="26"/>
  <c r="H35" i="26"/>
  <c r="H36" i="26"/>
  <c r="H37" i="26"/>
  <c r="H38" i="26"/>
  <c r="H39" i="26"/>
  <c r="H14" i="26"/>
  <c r="H15" i="26"/>
  <c r="H16" i="26"/>
  <c r="H17" i="26"/>
  <c r="H18" i="26"/>
  <c r="H19" i="26"/>
  <c r="H20" i="26"/>
  <c r="H21" i="26"/>
  <c r="H22" i="26"/>
  <c r="H23" i="26"/>
  <c r="H24" i="26"/>
  <c r="H11" i="26"/>
  <c r="Y18" i="26"/>
  <c r="AQ3" i="1"/>
  <c r="AP3" i="1"/>
  <c r="AO3" i="1"/>
  <c r="AN3" i="1"/>
  <c r="AM3" i="1"/>
  <c r="AK3" i="1"/>
  <c r="AL1" i="1"/>
  <c r="AQ2" i="1"/>
  <c r="AP2" i="1"/>
  <c r="AO2" i="1"/>
  <c r="AN2" i="1"/>
  <c r="AM2" i="1"/>
  <c r="AK2" i="1"/>
  <c r="AL2" i="1"/>
  <c r="AL3" i="1"/>
  <c r="X220" i="1"/>
  <c r="W220" i="1"/>
  <c r="X219" i="1"/>
  <c r="W219" i="1"/>
  <c r="X218" i="1"/>
  <c r="W218" i="1"/>
  <c r="X217" i="1"/>
  <c r="W217" i="1"/>
  <c r="X216" i="1"/>
  <c r="W216" i="1"/>
  <c r="P214" i="1"/>
  <c r="O214" i="1"/>
  <c r="G214" i="1"/>
  <c r="F214" i="1"/>
  <c r="P213" i="1"/>
  <c r="O213" i="1"/>
  <c r="G213" i="1"/>
  <c r="F213" i="1"/>
  <c r="P212" i="1"/>
  <c r="O212" i="1"/>
  <c r="G212" i="1"/>
  <c r="F212" i="1"/>
  <c r="P211" i="1"/>
  <c r="O211" i="1"/>
  <c r="G211" i="1"/>
  <c r="F211" i="1"/>
  <c r="P210" i="1"/>
  <c r="O210" i="1"/>
  <c r="G210" i="1"/>
  <c r="F210" i="1"/>
  <c r="P209" i="1"/>
  <c r="O209" i="1"/>
  <c r="G209" i="1"/>
  <c r="F209" i="1"/>
  <c r="P208" i="1"/>
  <c r="O208" i="1"/>
  <c r="G208" i="1"/>
  <c r="F208" i="1"/>
  <c r="P207" i="1"/>
  <c r="O207" i="1"/>
  <c r="G207" i="1"/>
  <c r="F207" i="1"/>
  <c r="P206" i="1"/>
  <c r="O206" i="1"/>
  <c r="G206" i="1"/>
  <c r="F206" i="1"/>
  <c r="P205" i="1"/>
  <c r="O205" i="1"/>
  <c r="G205" i="1"/>
  <c r="F205" i="1"/>
  <c r="P204" i="1"/>
  <c r="O204" i="1"/>
  <c r="G204" i="1"/>
  <c r="F204" i="1"/>
  <c r="P203" i="1"/>
  <c r="O203" i="1"/>
  <c r="G203" i="1"/>
  <c r="F203" i="1"/>
  <c r="P202" i="1"/>
  <c r="O202" i="1"/>
  <c r="G202" i="1"/>
  <c r="F202" i="1"/>
  <c r="P201" i="1"/>
  <c r="O201" i="1"/>
  <c r="G201" i="1"/>
  <c r="F201" i="1"/>
  <c r="P200" i="1"/>
  <c r="O200" i="1"/>
  <c r="G200" i="1"/>
  <c r="F200" i="1"/>
  <c r="P199" i="1"/>
  <c r="O199" i="1"/>
  <c r="G199" i="1"/>
  <c r="F199" i="1"/>
  <c r="P198" i="1"/>
  <c r="O198" i="1"/>
  <c r="G198" i="1"/>
  <c r="F198" i="1"/>
  <c r="P197" i="1"/>
  <c r="O197" i="1"/>
  <c r="G197" i="1"/>
  <c r="F197" i="1"/>
  <c r="P196" i="1"/>
  <c r="O196" i="1"/>
  <c r="G196" i="1"/>
  <c r="F196" i="1"/>
  <c r="P195" i="1"/>
  <c r="O195" i="1"/>
  <c r="G195" i="1"/>
  <c r="F195" i="1"/>
  <c r="P194" i="1"/>
  <c r="O194" i="1"/>
  <c r="G194" i="1"/>
  <c r="F194" i="1"/>
  <c r="P193" i="1"/>
  <c r="O193" i="1"/>
  <c r="G193" i="1"/>
  <c r="F193" i="1"/>
  <c r="P192" i="1"/>
  <c r="O192" i="1"/>
  <c r="G192" i="1"/>
  <c r="F192" i="1"/>
  <c r="P191" i="1"/>
  <c r="O191" i="1"/>
  <c r="G191" i="1"/>
  <c r="F191" i="1"/>
  <c r="P190" i="1"/>
  <c r="O190" i="1"/>
  <c r="G190" i="1"/>
  <c r="F190" i="1"/>
  <c r="P189" i="1"/>
  <c r="O189" i="1"/>
  <c r="G189" i="1"/>
  <c r="F189" i="1"/>
  <c r="P188" i="1"/>
  <c r="O188" i="1"/>
  <c r="G188" i="1"/>
  <c r="F188" i="1"/>
  <c r="P187" i="1"/>
  <c r="O187" i="1"/>
  <c r="G187" i="1"/>
  <c r="F187" i="1"/>
  <c r="P186" i="1"/>
  <c r="O186" i="1"/>
  <c r="G186" i="1"/>
  <c r="F186" i="1"/>
  <c r="P185" i="1"/>
  <c r="O185" i="1"/>
  <c r="G185" i="1"/>
  <c r="F185" i="1"/>
  <c r="P184" i="1"/>
  <c r="O184" i="1"/>
  <c r="G184" i="1"/>
  <c r="F184" i="1"/>
  <c r="P183" i="1"/>
  <c r="O183" i="1"/>
  <c r="G183" i="1"/>
  <c r="F183" i="1"/>
  <c r="P182" i="1"/>
  <c r="O182" i="1"/>
  <c r="G182" i="1"/>
  <c r="F182" i="1"/>
  <c r="P181" i="1"/>
  <c r="O181" i="1"/>
  <c r="G181" i="1"/>
  <c r="F181" i="1"/>
  <c r="P180" i="1"/>
  <c r="O180" i="1"/>
  <c r="G180" i="1"/>
  <c r="F180" i="1"/>
  <c r="P179" i="1"/>
  <c r="O179" i="1"/>
  <c r="G179" i="1"/>
  <c r="F179" i="1"/>
  <c r="P178" i="1"/>
  <c r="O178" i="1"/>
  <c r="G178" i="1"/>
  <c r="F178" i="1"/>
  <c r="P177" i="1"/>
  <c r="O177" i="1"/>
  <c r="G177" i="1"/>
  <c r="F177" i="1"/>
  <c r="P176" i="1"/>
  <c r="O176" i="1"/>
  <c r="G176" i="1"/>
  <c r="F176" i="1"/>
  <c r="P175" i="1"/>
  <c r="O175" i="1"/>
  <c r="G175" i="1"/>
  <c r="F175" i="1"/>
  <c r="P174" i="1"/>
  <c r="O174" i="1"/>
  <c r="G174" i="1"/>
  <c r="F174" i="1"/>
  <c r="P173" i="1"/>
  <c r="O173" i="1"/>
  <c r="G173" i="1"/>
  <c r="F173" i="1"/>
  <c r="P172" i="1"/>
  <c r="O172" i="1"/>
  <c r="G172" i="1"/>
  <c r="F172" i="1"/>
  <c r="P171" i="1"/>
  <c r="O171" i="1"/>
  <c r="G171" i="1"/>
  <c r="F171" i="1"/>
  <c r="P170" i="1"/>
  <c r="O170" i="1"/>
  <c r="G170" i="1"/>
  <c r="F170" i="1"/>
  <c r="P169" i="1"/>
  <c r="O169" i="1"/>
  <c r="G169" i="1"/>
  <c r="F169" i="1"/>
  <c r="P168" i="1"/>
  <c r="O168" i="1"/>
  <c r="G168" i="1"/>
  <c r="F168" i="1"/>
  <c r="P167" i="1"/>
  <c r="O167" i="1"/>
  <c r="G167" i="1"/>
  <c r="F167" i="1"/>
  <c r="P166" i="1"/>
  <c r="O166" i="1"/>
  <c r="G166" i="1"/>
  <c r="F166" i="1"/>
  <c r="P165" i="1"/>
  <c r="O165" i="1"/>
  <c r="G165" i="1"/>
  <c r="F165" i="1"/>
  <c r="P164" i="1"/>
  <c r="O164" i="1"/>
  <c r="G164" i="1"/>
  <c r="F164" i="1"/>
  <c r="P163" i="1"/>
  <c r="O163" i="1"/>
  <c r="G163" i="1"/>
  <c r="F163" i="1"/>
  <c r="P162" i="1"/>
  <c r="O162" i="1"/>
  <c r="G162" i="1"/>
  <c r="F162" i="1"/>
  <c r="P161" i="1"/>
  <c r="O161" i="1"/>
  <c r="G161" i="1"/>
  <c r="F161" i="1"/>
  <c r="P160" i="1"/>
  <c r="O160" i="1"/>
  <c r="G160" i="1"/>
  <c r="F160" i="1"/>
  <c r="P159" i="1"/>
  <c r="O159" i="1"/>
  <c r="G159" i="1"/>
  <c r="F159" i="1"/>
  <c r="P158" i="1"/>
  <c r="O158" i="1"/>
  <c r="G158" i="1"/>
  <c r="F158" i="1"/>
  <c r="P157" i="1"/>
  <c r="O157" i="1"/>
  <c r="G157" i="1"/>
  <c r="F157" i="1"/>
  <c r="P156" i="1"/>
  <c r="O156" i="1"/>
  <c r="G156" i="1"/>
  <c r="F156" i="1"/>
  <c r="P155" i="1"/>
  <c r="O155" i="1"/>
  <c r="G155" i="1"/>
  <c r="F155" i="1"/>
  <c r="P154" i="1"/>
  <c r="O154" i="1"/>
  <c r="G154" i="1"/>
  <c r="F154" i="1"/>
  <c r="P153" i="1"/>
  <c r="O153" i="1"/>
  <c r="G153" i="1"/>
  <c r="F153" i="1"/>
  <c r="P152" i="1"/>
  <c r="O152" i="1"/>
  <c r="G152" i="1"/>
  <c r="F152" i="1"/>
  <c r="P151" i="1"/>
  <c r="O151" i="1"/>
  <c r="G151" i="1"/>
  <c r="F151" i="1"/>
  <c r="P150" i="1"/>
  <c r="O150" i="1"/>
  <c r="G150" i="1"/>
  <c r="F150" i="1"/>
  <c r="P149" i="1"/>
  <c r="O149" i="1"/>
  <c r="G149" i="1"/>
  <c r="F149" i="1"/>
  <c r="P148" i="1"/>
  <c r="O148" i="1"/>
  <c r="G148" i="1"/>
  <c r="F148" i="1"/>
  <c r="P147" i="1"/>
  <c r="O147" i="1"/>
  <c r="G147" i="1"/>
  <c r="F147" i="1"/>
  <c r="P146" i="1"/>
  <c r="O146" i="1"/>
  <c r="G146" i="1"/>
  <c r="F146" i="1"/>
  <c r="P145" i="1"/>
  <c r="O145" i="1"/>
  <c r="G145" i="1"/>
  <c r="F145" i="1"/>
  <c r="P144" i="1"/>
  <c r="O144" i="1"/>
  <c r="G144" i="1"/>
  <c r="F144" i="1"/>
  <c r="P143" i="1"/>
  <c r="O143" i="1"/>
  <c r="G143" i="1"/>
  <c r="F143" i="1"/>
  <c r="P142" i="1"/>
  <c r="O142" i="1"/>
  <c r="G142" i="1"/>
  <c r="F142" i="1"/>
  <c r="P141" i="1"/>
  <c r="O141" i="1"/>
  <c r="G141" i="1"/>
  <c r="F141" i="1"/>
  <c r="P140" i="1"/>
  <c r="O140" i="1"/>
  <c r="G140" i="1"/>
  <c r="F140" i="1"/>
  <c r="P139" i="1"/>
  <c r="O139" i="1"/>
  <c r="G139" i="1"/>
  <c r="F139" i="1"/>
  <c r="P138" i="1"/>
  <c r="O138" i="1"/>
  <c r="G138" i="1"/>
  <c r="F138" i="1"/>
  <c r="P137" i="1"/>
  <c r="O137" i="1"/>
  <c r="G137" i="1"/>
  <c r="F137" i="1"/>
  <c r="P136" i="1"/>
  <c r="O136" i="1"/>
  <c r="G136" i="1"/>
  <c r="F136" i="1"/>
  <c r="P135" i="1"/>
  <c r="O135" i="1"/>
  <c r="G135" i="1"/>
  <c r="F135" i="1"/>
  <c r="P134" i="1"/>
  <c r="O134" i="1"/>
  <c r="G134" i="1"/>
  <c r="F134" i="1"/>
  <c r="P133" i="1"/>
  <c r="O133" i="1"/>
  <c r="G133" i="1"/>
  <c r="F133" i="1"/>
  <c r="P132" i="1"/>
  <c r="O132" i="1"/>
  <c r="G132" i="1"/>
  <c r="F132" i="1"/>
  <c r="P131" i="1"/>
  <c r="O131" i="1"/>
  <c r="G131" i="1"/>
  <c r="F131" i="1"/>
  <c r="P130" i="1"/>
  <c r="O130" i="1"/>
  <c r="G130" i="1"/>
  <c r="F130" i="1"/>
  <c r="P129" i="1"/>
  <c r="O129" i="1"/>
  <c r="G129" i="1"/>
  <c r="F129" i="1"/>
  <c r="P128" i="1"/>
  <c r="O128" i="1"/>
  <c r="G128" i="1"/>
  <c r="F128" i="1"/>
  <c r="P127" i="1"/>
  <c r="O127" i="1"/>
  <c r="G127" i="1"/>
  <c r="F127" i="1"/>
  <c r="P126" i="1"/>
  <c r="O126" i="1"/>
  <c r="G126" i="1"/>
  <c r="F126" i="1"/>
  <c r="P125" i="1"/>
  <c r="O125" i="1"/>
  <c r="G125" i="1"/>
  <c r="F125" i="1"/>
  <c r="P124" i="1"/>
  <c r="O124" i="1"/>
  <c r="G124" i="1"/>
  <c r="F124" i="1"/>
  <c r="P123" i="1"/>
  <c r="O123" i="1"/>
  <c r="G123" i="1"/>
  <c r="F123" i="1"/>
  <c r="P122" i="1"/>
  <c r="O122" i="1"/>
  <c r="G122" i="1"/>
  <c r="F122" i="1"/>
  <c r="P121" i="1"/>
  <c r="O121" i="1"/>
  <c r="G121" i="1"/>
  <c r="F121" i="1"/>
  <c r="P120" i="1"/>
  <c r="O120" i="1"/>
  <c r="G120" i="1"/>
  <c r="F120" i="1"/>
  <c r="P119" i="1"/>
  <c r="O119" i="1"/>
  <c r="G119" i="1"/>
  <c r="F119" i="1"/>
  <c r="P118" i="1"/>
  <c r="O118" i="1"/>
  <c r="G118" i="1"/>
  <c r="F118" i="1"/>
  <c r="P117" i="1"/>
  <c r="O117" i="1"/>
  <c r="G117" i="1"/>
  <c r="F117" i="1"/>
  <c r="P116" i="1"/>
  <c r="O116" i="1"/>
  <c r="G116" i="1"/>
  <c r="F116" i="1"/>
  <c r="P115" i="1"/>
  <c r="O115" i="1"/>
  <c r="G115" i="1"/>
  <c r="F115" i="1"/>
  <c r="P114" i="1"/>
  <c r="O114" i="1"/>
  <c r="G114" i="1"/>
  <c r="F114" i="1"/>
  <c r="P113" i="1"/>
  <c r="O113" i="1"/>
  <c r="G113" i="1"/>
  <c r="F113" i="1"/>
  <c r="P112" i="1"/>
  <c r="O112" i="1"/>
  <c r="G112" i="1"/>
  <c r="F112" i="1"/>
  <c r="P111" i="1"/>
  <c r="O111" i="1"/>
  <c r="G111" i="1"/>
  <c r="F111" i="1"/>
  <c r="P110" i="1"/>
  <c r="O110" i="1"/>
  <c r="G110" i="1"/>
  <c r="F110" i="1"/>
  <c r="P109" i="1"/>
  <c r="O109" i="1"/>
  <c r="G109" i="1"/>
  <c r="F109" i="1"/>
  <c r="P108" i="1"/>
  <c r="O108" i="1"/>
  <c r="G108" i="1"/>
  <c r="F108" i="1"/>
  <c r="P107" i="1"/>
  <c r="O107" i="1"/>
  <c r="G107" i="1"/>
  <c r="F107" i="1"/>
  <c r="P106" i="1"/>
  <c r="O106" i="1"/>
  <c r="G106" i="1"/>
  <c r="F106" i="1"/>
  <c r="P105" i="1"/>
  <c r="O105" i="1"/>
  <c r="G105" i="1"/>
  <c r="F105" i="1"/>
  <c r="P104" i="1"/>
  <c r="O104" i="1"/>
  <c r="G104" i="1"/>
  <c r="F104" i="1"/>
  <c r="P103" i="1"/>
  <c r="O103" i="1"/>
  <c r="G103" i="1"/>
  <c r="F103" i="1"/>
  <c r="P102" i="1"/>
  <c r="O102" i="1"/>
  <c r="G102" i="1"/>
  <c r="F102" i="1"/>
  <c r="P101" i="1"/>
  <c r="O101" i="1"/>
  <c r="G101" i="1"/>
  <c r="F101" i="1"/>
  <c r="P100" i="1"/>
  <c r="O100" i="1"/>
  <c r="G100" i="1"/>
  <c r="F100" i="1"/>
  <c r="P99" i="1"/>
  <c r="O99" i="1"/>
  <c r="G99" i="1"/>
  <c r="F99" i="1"/>
  <c r="P98" i="1"/>
  <c r="O98" i="1"/>
  <c r="G98" i="1"/>
  <c r="F98" i="1"/>
  <c r="P97" i="1"/>
  <c r="O97" i="1"/>
  <c r="G97" i="1"/>
  <c r="F97" i="1"/>
  <c r="P96" i="1"/>
  <c r="O96" i="1"/>
  <c r="G96" i="1"/>
  <c r="F96" i="1"/>
  <c r="P95" i="1"/>
  <c r="O95" i="1"/>
  <c r="G95" i="1"/>
  <c r="F95" i="1"/>
  <c r="P94" i="1"/>
  <c r="O94" i="1"/>
  <c r="G94" i="1"/>
  <c r="F94" i="1"/>
  <c r="P93" i="1"/>
  <c r="O93" i="1"/>
  <c r="G93" i="1"/>
  <c r="F93" i="1"/>
  <c r="P92" i="1"/>
  <c r="O92" i="1"/>
  <c r="G92" i="1"/>
  <c r="F92" i="1"/>
  <c r="P91" i="1"/>
  <c r="O91" i="1"/>
  <c r="G91" i="1"/>
  <c r="F91" i="1"/>
  <c r="P90" i="1"/>
  <c r="O90" i="1"/>
  <c r="G90" i="1"/>
  <c r="F90" i="1"/>
  <c r="P89" i="1"/>
  <c r="O89" i="1"/>
  <c r="G89" i="1"/>
  <c r="F89" i="1"/>
  <c r="P88" i="1"/>
  <c r="O88" i="1"/>
  <c r="G88" i="1"/>
  <c r="F88" i="1"/>
  <c r="P87" i="1"/>
  <c r="O87" i="1"/>
  <c r="G87" i="1"/>
  <c r="F87" i="1"/>
  <c r="P86" i="1"/>
  <c r="O86" i="1"/>
  <c r="G86" i="1"/>
  <c r="F86" i="1"/>
  <c r="P85" i="1"/>
  <c r="O85" i="1"/>
  <c r="G85" i="1"/>
  <c r="F85" i="1"/>
  <c r="P84" i="1"/>
  <c r="O84" i="1"/>
  <c r="G84" i="1"/>
  <c r="F84" i="1"/>
  <c r="P83" i="1"/>
  <c r="O83" i="1"/>
  <c r="G83" i="1"/>
  <c r="F83" i="1"/>
  <c r="P82" i="1"/>
  <c r="O82" i="1"/>
  <c r="G82" i="1"/>
  <c r="F82" i="1"/>
  <c r="P81" i="1"/>
  <c r="O81" i="1"/>
  <c r="G81" i="1"/>
  <c r="F81" i="1"/>
  <c r="P80" i="1"/>
  <c r="O80" i="1"/>
  <c r="G80" i="1"/>
  <c r="F80" i="1"/>
  <c r="P79" i="1"/>
  <c r="O79" i="1"/>
  <c r="G79" i="1"/>
  <c r="F79" i="1"/>
  <c r="P78" i="1"/>
  <c r="O78" i="1"/>
  <c r="G78" i="1"/>
  <c r="F78" i="1"/>
  <c r="P77" i="1"/>
  <c r="O77" i="1"/>
  <c r="G77" i="1"/>
  <c r="F77" i="1"/>
  <c r="P76" i="1"/>
  <c r="O76" i="1"/>
  <c r="G76" i="1"/>
  <c r="F76" i="1"/>
  <c r="P75" i="1"/>
  <c r="O75" i="1"/>
  <c r="G75" i="1"/>
  <c r="F75" i="1"/>
  <c r="AB74" i="1"/>
  <c r="AA74" i="1"/>
  <c r="Z74" i="1"/>
  <c r="Y74" i="1"/>
  <c r="X74" i="1"/>
  <c r="W74" i="1"/>
  <c r="P74" i="1"/>
  <c r="O74" i="1"/>
  <c r="G74" i="1"/>
  <c r="F74" i="1"/>
  <c r="AB73" i="1"/>
  <c r="AA73" i="1"/>
  <c r="X73" i="1"/>
  <c r="W73" i="1"/>
  <c r="P73" i="1"/>
  <c r="O73" i="1"/>
  <c r="G73" i="1"/>
  <c r="F73" i="1"/>
  <c r="AB72" i="1"/>
  <c r="AA72" i="1"/>
  <c r="X72" i="1"/>
  <c r="W72" i="1"/>
  <c r="P72" i="1"/>
  <c r="O72" i="1"/>
  <c r="G72" i="1"/>
  <c r="F72" i="1"/>
  <c r="AB71" i="1"/>
  <c r="AA71" i="1"/>
  <c r="X71" i="1"/>
  <c r="W71" i="1"/>
  <c r="P71" i="1"/>
  <c r="O71" i="1"/>
  <c r="G71" i="1"/>
  <c r="F71" i="1"/>
  <c r="AB70" i="1"/>
  <c r="AA70" i="1"/>
  <c r="X70" i="1"/>
  <c r="W70" i="1"/>
  <c r="P70" i="1"/>
  <c r="O70" i="1"/>
  <c r="G70" i="1"/>
  <c r="F70" i="1"/>
  <c r="AB69" i="1"/>
  <c r="AA69" i="1"/>
  <c r="X69" i="1"/>
  <c r="W69" i="1"/>
  <c r="P69" i="1"/>
  <c r="O69" i="1"/>
  <c r="G69" i="1"/>
  <c r="F69" i="1"/>
  <c r="AB68" i="1"/>
  <c r="X68" i="1"/>
  <c r="W68" i="1"/>
  <c r="P68" i="1"/>
  <c r="O68" i="1"/>
  <c r="G68" i="1"/>
  <c r="F68" i="1"/>
  <c r="AB67" i="1"/>
  <c r="X67" i="1"/>
  <c r="W67" i="1"/>
  <c r="P67" i="1"/>
  <c r="O67" i="1"/>
  <c r="G67" i="1"/>
  <c r="F67" i="1"/>
  <c r="AB66" i="1"/>
  <c r="X66" i="1"/>
  <c r="W66" i="1"/>
  <c r="P66" i="1"/>
  <c r="O66" i="1"/>
  <c r="G66" i="1"/>
  <c r="F66" i="1"/>
  <c r="AB65" i="1"/>
  <c r="X65" i="1"/>
  <c r="W65" i="1"/>
  <c r="P65" i="1"/>
  <c r="O65" i="1"/>
  <c r="G65" i="1"/>
  <c r="F65" i="1"/>
  <c r="AB64" i="1"/>
  <c r="X64" i="1"/>
  <c r="W64" i="1"/>
  <c r="P64" i="1"/>
  <c r="O64" i="1"/>
  <c r="G64" i="1"/>
  <c r="F64" i="1"/>
  <c r="AB63" i="1"/>
  <c r="X63" i="1"/>
  <c r="W63" i="1"/>
  <c r="P63" i="1"/>
  <c r="O63" i="1"/>
  <c r="G63" i="1"/>
  <c r="F63" i="1"/>
  <c r="X62" i="1"/>
  <c r="W62" i="1"/>
  <c r="P62" i="1"/>
  <c r="O62" i="1"/>
  <c r="G62" i="1"/>
  <c r="F62" i="1"/>
  <c r="X61" i="1"/>
  <c r="W61" i="1"/>
  <c r="P61" i="1"/>
  <c r="O61" i="1"/>
  <c r="G61" i="1"/>
  <c r="F61" i="1"/>
  <c r="X60" i="1"/>
  <c r="W60" i="1"/>
  <c r="P60" i="1"/>
  <c r="O60" i="1"/>
  <c r="G60" i="1"/>
  <c r="F60" i="1"/>
  <c r="X59" i="1"/>
  <c r="W59" i="1"/>
  <c r="P59" i="1"/>
  <c r="O59" i="1"/>
  <c r="G59" i="1"/>
  <c r="F59" i="1"/>
  <c r="X58" i="1"/>
  <c r="W58" i="1"/>
  <c r="P58" i="1"/>
  <c r="O58" i="1"/>
  <c r="G58" i="1"/>
  <c r="F58" i="1"/>
  <c r="X57" i="1"/>
  <c r="W57" i="1"/>
  <c r="P57" i="1"/>
  <c r="O57" i="1"/>
  <c r="G57" i="1"/>
  <c r="F57" i="1"/>
  <c r="X56" i="1"/>
  <c r="W56" i="1"/>
  <c r="P56" i="1"/>
  <c r="O56" i="1"/>
  <c r="G56" i="1"/>
  <c r="F56" i="1"/>
  <c r="X55" i="1"/>
  <c r="W55" i="1"/>
  <c r="P55" i="1"/>
  <c r="O55" i="1"/>
  <c r="G55" i="1"/>
  <c r="F55" i="1"/>
  <c r="X54" i="1"/>
  <c r="W54" i="1"/>
  <c r="P54" i="1"/>
  <c r="O54" i="1"/>
  <c r="G54" i="1"/>
  <c r="F54" i="1"/>
  <c r="X53" i="1"/>
  <c r="W53" i="1"/>
  <c r="P53" i="1"/>
  <c r="O53" i="1"/>
  <c r="G53" i="1"/>
  <c r="F53" i="1"/>
  <c r="X52" i="1"/>
  <c r="W52" i="1"/>
  <c r="P52" i="1"/>
  <c r="O52" i="1"/>
  <c r="G52" i="1"/>
  <c r="F52" i="1"/>
  <c r="X51" i="1"/>
  <c r="W51" i="1"/>
  <c r="P51" i="1"/>
  <c r="O51" i="1"/>
  <c r="G51" i="1"/>
  <c r="F51" i="1"/>
  <c r="A51" i="1"/>
  <c r="D51" i="1"/>
  <c r="X50" i="1"/>
  <c r="W50" i="1"/>
  <c r="P50" i="1"/>
  <c r="O50" i="1"/>
  <c r="G50" i="1"/>
  <c r="F50" i="1"/>
  <c r="A50" i="1"/>
  <c r="X49" i="1"/>
  <c r="W49" i="1"/>
  <c r="P49" i="1"/>
  <c r="O49" i="1"/>
  <c r="G49" i="1"/>
  <c r="F49" i="1"/>
  <c r="A49" i="1"/>
  <c r="D49" i="1"/>
  <c r="X48" i="1"/>
  <c r="W48" i="1"/>
  <c r="P48" i="1"/>
  <c r="O48" i="1"/>
  <c r="G48" i="1"/>
  <c r="F48" i="1"/>
  <c r="A48" i="1"/>
  <c r="X47" i="1"/>
  <c r="W47" i="1"/>
  <c r="P47" i="1"/>
  <c r="O47" i="1"/>
  <c r="G47" i="1"/>
  <c r="F47" i="1"/>
  <c r="A47" i="1"/>
  <c r="D47" i="1"/>
  <c r="X46" i="1"/>
  <c r="W46" i="1"/>
  <c r="P46" i="1"/>
  <c r="O46" i="1"/>
  <c r="G46" i="1"/>
  <c r="F46" i="1"/>
  <c r="A46" i="1"/>
  <c r="X45" i="1"/>
  <c r="W45" i="1"/>
  <c r="P45" i="1"/>
  <c r="O45" i="1"/>
  <c r="G45" i="1"/>
  <c r="F45" i="1"/>
  <c r="A45" i="1"/>
  <c r="D45" i="1"/>
  <c r="X44" i="1"/>
  <c r="W44" i="1"/>
  <c r="P44" i="1"/>
  <c r="O44" i="1"/>
  <c r="G44" i="1"/>
  <c r="F44" i="1"/>
  <c r="A44" i="1"/>
  <c r="X43" i="1"/>
  <c r="W43" i="1"/>
  <c r="P43" i="1"/>
  <c r="O43" i="1"/>
  <c r="G43" i="1"/>
  <c r="F43" i="1"/>
  <c r="A43" i="1"/>
  <c r="D43" i="1"/>
  <c r="X42" i="1"/>
  <c r="W42" i="1"/>
  <c r="P42" i="1"/>
  <c r="O42" i="1"/>
  <c r="G42" i="1"/>
  <c r="F42" i="1"/>
  <c r="A42" i="1"/>
  <c r="X41" i="1"/>
  <c r="W41" i="1"/>
  <c r="P41" i="1"/>
  <c r="O41" i="1"/>
  <c r="G41" i="1"/>
  <c r="F41" i="1"/>
  <c r="A41" i="1"/>
  <c r="D41" i="1"/>
  <c r="X40" i="1"/>
  <c r="W40" i="1"/>
  <c r="P40" i="1"/>
  <c r="O40" i="1"/>
  <c r="G40" i="1"/>
  <c r="F40" i="1"/>
  <c r="A40" i="1"/>
  <c r="X39" i="1"/>
  <c r="W39" i="1"/>
  <c r="P39" i="1"/>
  <c r="O39" i="1"/>
  <c r="G39" i="1"/>
  <c r="F39" i="1"/>
  <c r="D39" i="1"/>
  <c r="X38" i="1"/>
  <c r="W38" i="1"/>
  <c r="P38" i="1"/>
  <c r="O38" i="1"/>
  <c r="G38" i="1"/>
  <c r="F38" i="1"/>
  <c r="D38" i="1"/>
  <c r="X37" i="1"/>
  <c r="W37" i="1"/>
  <c r="P37" i="1"/>
  <c r="O37" i="1"/>
  <c r="G37" i="1"/>
  <c r="F37" i="1"/>
  <c r="D37" i="1"/>
  <c r="X36" i="1"/>
  <c r="W36" i="1"/>
  <c r="P36" i="1"/>
  <c r="O36" i="1"/>
  <c r="G36" i="1"/>
  <c r="F36" i="1"/>
  <c r="D36" i="1"/>
  <c r="X35" i="1"/>
  <c r="W35" i="1"/>
  <c r="P35" i="1"/>
  <c r="O35" i="1"/>
  <c r="G35" i="1"/>
  <c r="F35" i="1"/>
  <c r="D35" i="1"/>
  <c r="X34" i="1"/>
  <c r="W34" i="1"/>
  <c r="P34" i="1"/>
  <c r="O34" i="1"/>
  <c r="G34" i="1"/>
  <c r="F34" i="1"/>
  <c r="D34" i="1"/>
  <c r="X33" i="1"/>
  <c r="W33" i="1"/>
  <c r="P33" i="1"/>
  <c r="O33" i="1"/>
  <c r="G33" i="1"/>
  <c r="F33" i="1"/>
  <c r="D33" i="1"/>
  <c r="X32" i="1"/>
  <c r="W32" i="1"/>
  <c r="P32" i="1"/>
  <c r="O32" i="1"/>
  <c r="G32" i="1"/>
  <c r="F32" i="1"/>
  <c r="D32" i="1"/>
  <c r="X31" i="1"/>
  <c r="W31" i="1"/>
  <c r="P31" i="1"/>
  <c r="O31" i="1"/>
  <c r="G31" i="1"/>
  <c r="F31" i="1"/>
  <c r="D31" i="1"/>
  <c r="X30" i="1"/>
  <c r="W30" i="1"/>
  <c r="P30" i="1"/>
  <c r="O30" i="1"/>
  <c r="G30" i="1"/>
  <c r="F30" i="1"/>
  <c r="D30" i="1"/>
  <c r="X29" i="1"/>
  <c r="W29" i="1"/>
  <c r="P29" i="1"/>
  <c r="O29" i="1"/>
  <c r="G29" i="1"/>
  <c r="F29" i="1"/>
  <c r="D29" i="1"/>
  <c r="X28" i="1"/>
  <c r="W28" i="1"/>
  <c r="P28" i="1"/>
  <c r="O28" i="1"/>
  <c r="G28" i="1"/>
  <c r="F28" i="1"/>
  <c r="D28" i="1"/>
  <c r="X27" i="1"/>
  <c r="W27" i="1"/>
  <c r="P27" i="1"/>
  <c r="O27" i="1"/>
  <c r="G27" i="1"/>
  <c r="F27" i="1"/>
  <c r="D27" i="1"/>
  <c r="X26" i="1"/>
  <c r="W26" i="1"/>
  <c r="P26" i="1"/>
  <c r="O26" i="1"/>
  <c r="G26" i="1"/>
  <c r="F26" i="1"/>
  <c r="D26" i="1"/>
  <c r="X25" i="1"/>
  <c r="W25" i="1"/>
  <c r="P25" i="1"/>
  <c r="O25" i="1"/>
  <c r="G25" i="1"/>
  <c r="F25" i="1"/>
  <c r="D25" i="1"/>
  <c r="X24" i="1"/>
  <c r="W24" i="1"/>
  <c r="P24" i="1"/>
  <c r="O24" i="1"/>
  <c r="G24" i="1"/>
  <c r="F24" i="1"/>
  <c r="D24" i="1"/>
  <c r="X23" i="1"/>
  <c r="W23" i="1"/>
  <c r="P23" i="1"/>
  <c r="O23" i="1"/>
  <c r="G23" i="1"/>
  <c r="F23" i="1"/>
  <c r="D23" i="1"/>
  <c r="X22" i="1"/>
  <c r="W22" i="1"/>
  <c r="P22" i="1"/>
  <c r="O22" i="1"/>
  <c r="G22" i="1"/>
  <c r="F22" i="1"/>
  <c r="D22" i="1"/>
  <c r="X21" i="1"/>
  <c r="W21" i="1"/>
  <c r="P21" i="1"/>
  <c r="O21" i="1"/>
  <c r="G21" i="1"/>
  <c r="F21" i="1"/>
  <c r="D21" i="1"/>
  <c r="X20" i="1"/>
  <c r="W20" i="1"/>
  <c r="P20" i="1"/>
  <c r="O20" i="1"/>
  <c r="G20" i="1"/>
  <c r="F20" i="1"/>
  <c r="D20" i="1"/>
  <c r="X19" i="1"/>
  <c r="W19" i="1"/>
  <c r="P19" i="1"/>
  <c r="O19" i="1"/>
  <c r="G19" i="1"/>
  <c r="F19" i="1"/>
  <c r="D19" i="1"/>
  <c r="X18" i="1"/>
  <c r="W18" i="1"/>
  <c r="P18" i="1"/>
  <c r="O18" i="1"/>
  <c r="G18" i="1"/>
  <c r="F18" i="1"/>
  <c r="D18" i="1"/>
  <c r="X17" i="1"/>
  <c r="W17" i="1"/>
  <c r="P17" i="1"/>
  <c r="O17" i="1"/>
  <c r="G17" i="1"/>
  <c r="F17" i="1"/>
  <c r="D17" i="1"/>
  <c r="X16" i="1"/>
  <c r="W16" i="1"/>
  <c r="P16" i="1"/>
  <c r="O16" i="1"/>
  <c r="G16" i="1"/>
  <c r="F16" i="1"/>
  <c r="D16" i="1"/>
  <c r="X15" i="1"/>
  <c r="W15" i="1"/>
  <c r="P15" i="1"/>
  <c r="O15" i="1"/>
  <c r="G15" i="1"/>
  <c r="F15" i="1"/>
  <c r="D15" i="1"/>
  <c r="X14" i="1"/>
  <c r="W14" i="1"/>
  <c r="P14" i="1"/>
  <c r="O14" i="1"/>
  <c r="G14" i="1"/>
  <c r="F14" i="1"/>
  <c r="D14" i="1"/>
  <c r="X13" i="1"/>
  <c r="W13" i="1"/>
  <c r="P13" i="1"/>
  <c r="O13" i="1"/>
  <c r="G13" i="1"/>
  <c r="F13" i="1"/>
  <c r="D13" i="1"/>
  <c r="X12" i="1"/>
  <c r="W12" i="1"/>
  <c r="P12" i="1"/>
  <c r="O12" i="1"/>
  <c r="G12" i="1"/>
  <c r="F12" i="1"/>
  <c r="D12" i="1"/>
  <c r="X11" i="1"/>
  <c r="W11" i="1"/>
  <c r="P11" i="1"/>
  <c r="O11" i="1"/>
  <c r="G11" i="1"/>
  <c r="F11" i="1"/>
  <c r="D11" i="1"/>
  <c r="X10" i="1"/>
  <c r="W10" i="1"/>
  <c r="P10" i="1"/>
  <c r="O10" i="1"/>
  <c r="G10" i="1"/>
  <c r="F10" i="1"/>
  <c r="D10" i="1"/>
  <c r="X9" i="1"/>
  <c r="W9" i="1"/>
  <c r="P9" i="1"/>
  <c r="O9" i="1"/>
  <c r="G9" i="1"/>
  <c r="F9" i="1"/>
  <c r="D9" i="1"/>
  <c r="X8" i="1"/>
  <c r="W8" i="1"/>
  <c r="P8" i="1"/>
  <c r="O8" i="1"/>
  <c r="G8" i="1"/>
  <c r="F8" i="1"/>
  <c r="D8" i="1"/>
  <c r="W7" i="1"/>
  <c r="P7" i="1"/>
  <c r="O7" i="1"/>
  <c r="G7" i="1"/>
  <c r="F7" i="1"/>
  <c r="D7" i="1"/>
  <c r="W6" i="1"/>
  <c r="P6" i="1"/>
  <c r="O6" i="1"/>
  <c r="G6" i="1"/>
  <c r="F6" i="1"/>
  <c r="D6" i="1"/>
  <c r="P5" i="1"/>
  <c r="O5" i="1"/>
  <c r="G5" i="1"/>
  <c r="F5" i="1"/>
  <c r="D5" i="1"/>
  <c r="P4" i="1"/>
  <c r="O4" i="1"/>
  <c r="G4" i="1"/>
  <c r="F4" i="1"/>
  <c r="D4" i="1"/>
  <c r="AI7" i="1"/>
  <c r="AJ7" i="1"/>
  <c r="AG7" i="1"/>
  <c r="AH7" i="1"/>
  <c r="AE7" i="1"/>
  <c r="AF7" i="1"/>
  <c r="AI16" i="1"/>
  <c r="AJ16" i="1"/>
  <c r="AG16" i="1"/>
  <c r="AH16" i="1"/>
  <c r="AE16" i="1"/>
  <c r="AF16" i="1"/>
  <c r="AI20" i="1"/>
  <c r="AJ20" i="1"/>
  <c r="AG20" i="1"/>
  <c r="AH20" i="1"/>
  <c r="AE20" i="1"/>
  <c r="AF20" i="1"/>
  <c r="AI32" i="1"/>
  <c r="AJ32" i="1"/>
  <c r="AG32" i="1"/>
  <c r="AH32" i="1"/>
  <c r="AE32" i="1"/>
  <c r="AF32" i="1"/>
  <c r="AI51" i="1"/>
  <c r="AJ51" i="1"/>
  <c r="AG51" i="1"/>
  <c r="AH51" i="1"/>
  <c r="AE51" i="1"/>
  <c r="AF51" i="1"/>
  <c r="AI21" i="1"/>
  <c r="AJ21" i="1"/>
  <c r="AG21" i="1"/>
  <c r="AH21" i="1"/>
  <c r="AE21" i="1"/>
  <c r="AF21" i="1"/>
  <c r="AG29" i="1"/>
  <c r="AH29" i="1"/>
  <c r="AI29" i="1"/>
  <c r="AJ29" i="1"/>
  <c r="AE29" i="1"/>
  <c r="AF29" i="1"/>
  <c r="AI33" i="1"/>
  <c r="AJ33" i="1"/>
  <c r="AG33" i="1"/>
  <c r="AH33" i="1"/>
  <c r="AE33" i="1"/>
  <c r="AF33" i="1"/>
  <c r="AI41" i="1"/>
  <c r="AJ41" i="1"/>
  <c r="AE41" i="1"/>
  <c r="AF41" i="1"/>
  <c r="AG41" i="1"/>
  <c r="AH41" i="1"/>
  <c r="AI11" i="1"/>
  <c r="AJ11" i="1"/>
  <c r="AG11" i="1"/>
  <c r="AH11" i="1"/>
  <c r="AE11" i="1"/>
  <c r="AF11" i="1"/>
  <c r="AI15" i="1"/>
  <c r="AJ15" i="1"/>
  <c r="AG15" i="1"/>
  <c r="AH15" i="1"/>
  <c r="AE15" i="1"/>
  <c r="AF15" i="1"/>
  <c r="AI19" i="1"/>
  <c r="AJ19" i="1"/>
  <c r="AG19" i="1"/>
  <c r="AH19" i="1"/>
  <c r="AE19" i="1"/>
  <c r="AF19" i="1"/>
  <c r="AI23" i="1"/>
  <c r="AJ23" i="1"/>
  <c r="AG23" i="1"/>
  <c r="AH23" i="1"/>
  <c r="AE23" i="1"/>
  <c r="AF23" i="1"/>
  <c r="AI27" i="1"/>
  <c r="AJ27" i="1"/>
  <c r="AG27" i="1"/>
  <c r="AH27" i="1"/>
  <c r="AE27" i="1"/>
  <c r="AF27" i="1"/>
  <c r="AI31" i="1"/>
  <c r="AJ31" i="1"/>
  <c r="AG31" i="1"/>
  <c r="AH31" i="1"/>
  <c r="AE31" i="1"/>
  <c r="AF31" i="1"/>
  <c r="AI35" i="1"/>
  <c r="AJ35" i="1"/>
  <c r="AG35" i="1"/>
  <c r="AH35" i="1"/>
  <c r="AE35" i="1"/>
  <c r="AF35" i="1"/>
  <c r="AI39" i="1"/>
  <c r="AJ39" i="1"/>
  <c r="AG39" i="1"/>
  <c r="AH39" i="1"/>
  <c r="AE39" i="1"/>
  <c r="AF39" i="1"/>
  <c r="AI6" i="1"/>
  <c r="AJ6" i="1"/>
  <c r="AG6" i="1"/>
  <c r="AH6" i="1"/>
  <c r="AE6" i="1"/>
  <c r="AF6" i="1"/>
  <c r="AI8" i="1"/>
  <c r="AJ8" i="1"/>
  <c r="AG8" i="1"/>
  <c r="AH8" i="1"/>
  <c r="AE8" i="1"/>
  <c r="AF8" i="1"/>
  <c r="AI12" i="1"/>
  <c r="AJ12" i="1"/>
  <c r="AG12" i="1"/>
  <c r="AH12" i="1"/>
  <c r="AE12" i="1"/>
  <c r="AF12" i="1"/>
  <c r="AI24" i="1"/>
  <c r="AJ24" i="1"/>
  <c r="AG24" i="1"/>
  <c r="AH24" i="1"/>
  <c r="AE24" i="1"/>
  <c r="AF24" i="1"/>
  <c r="AI28" i="1"/>
  <c r="AJ28" i="1"/>
  <c r="AG28" i="1"/>
  <c r="AH28" i="1"/>
  <c r="AE28" i="1"/>
  <c r="AF28" i="1"/>
  <c r="AI36" i="1"/>
  <c r="AJ36" i="1"/>
  <c r="AG36" i="1"/>
  <c r="AH36" i="1"/>
  <c r="AE36" i="1"/>
  <c r="AF36" i="1"/>
  <c r="AI43" i="1"/>
  <c r="AJ43" i="1"/>
  <c r="AG43" i="1"/>
  <c r="AH43" i="1"/>
  <c r="AE43" i="1"/>
  <c r="AF43" i="1"/>
  <c r="AI47" i="1"/>
  <c r="AJ47" i="1"/>
  <c r="AG47" i="1"/>
  <c r="AH47" i="1"/>
  <c r="AE47" i="1"/>
  <c r="AF47" i="1"/>
  <c r="AI5" i="1"/>
  <c r="AJ5" i="1"/>
  <c r="AG5" i="1"/>
  <c r="AH5" i="1"/>
  <c r="AE5" i="1"/>
  <c r="AF5" i="1"/>
  <c r="AI9" i="1"/>
  <c r="AJ9" i="1"/>
  <c r="AG9" i="1"/>
  <c r="AH9" i="1"/>
  <c r="AE9" i="1"/>
  <c r="AF9" i="1"/>
  <c r="AG13" i="1"/>
  <c r="AH13" i="1"/>
  <c r="AI13" i="1"/>
  <c r="AJ13" i="1"/>
  <c r="AE13" i="1"/>
  <c r="AF13" i="1"/>
  <c r="AI17" i="1"/>
  <c r="AJ17" i="1"/>
  <c r="AG17" i="1"/>
  <c r="AH17" i="1"/>
  <c r="AE17" i="1"/>
  <c r="AF17" i="1"/>
  <c r="AI25" i="1"/>
  <c r="AJ25" i="1"/>
  <c r="AG25" i="1"/>
  <c r="AH25" i="1"/>
  <c r="AE25" i="1"/>
  <c r="AF25" i="1"/>
  <c r="AI37" i="1"/>
  <c r="AJ37" i="1"/>
  <c r="AG37" i="1"/>
  <c r="AH37" i="1"/>
  <c r="AE37" i="1"/>
  <c r="AF37" i="1"/>
  <c r="AI4" i="1"/>
  <c r="AJ4" i="1"/>
  <c r="AG4" i="1"/>
  <c r="AH4" i="1"/>
  <c r="AE4" i="1"/>
  <c r="AF4" i="1"/>
  <c r="AI10" i="1"/>
  <c r="AJ10" i="1"/>
  <c r="AG10" i="1"/>
  <c r="AH10" i="1"/>
  <c r="AE10" i="1"/>
  <c r="AF10" i="1"/>
  <c r="AI14" i="1"/>
  <c r="AJ14" i="1"/>
  <c r="AG14" i="1"/>
  <c r="AH14" i="1"/>
  <c r="AE14" i="1"/>
  <c r="AF14" i="1"/>
  <c r="AI18" i="1"/>
  <c r="AJ18" i="1"/>
  <c r="AG18" i="1"/>
  <c r="AH18" i="1"/>
  <c r="AE18" i="1"/>
  <c r="AF18" i="1"/>
  <c r="AI22" i="1"/>
  <c r="AJ22" i="1"/>
  <c r="AG22" i="1"/>
  <c r="AH22" i="1"/>
  <c r="AE22" i="1"/>
  <c r="AF22" i="1"/>
  <c r="AI26" i="1"/>
  <c r="AJ26" i="1"/>
  <c r="AG26" i="1"/>
  <c r="AH26" i="1"/>
  <c r="AE26" i="1"/>
  <c r="AF26" i="1"/>
  <c r="AI30" i="1"/>
  <c r="AJ30" i="1"/>
  <c r="AG30" i="1"/>
  <c r="AH30" i="1"/>
  <c r="AE30" i="1"/>
  <c r="AF30" i="1"/>
  <c r="AI34" i="1"/>
  <c r="AJ34" i="1"/>
  <c r="AG34" i="1"/>
  <c r="AH34" i="1"/>
  <c r="AE34" i="1"/>
  <c r="AF34" i="1"/>
  <c r="AI38" i="1"/>
  <c r="AJ38" i="1"/>
  <c r="AG38" i="1"/>
  <c r="AH38" i="1"/>
  <c r="AE38" i="1"/>
  <c r="AF38" i="1"/>
  <c r="AE45" i="1"/>
  <c r="AF45" i="1"/>
  <c r="AG45" i="1"/>
  <c r="AH45" i="1"/>
  <c r="AI45" i="1"/>
  <c r="AJ45" i="1"/>
  <c r="AE49" i="1"/>
  <c r="AF49" i="1"/>
  <c r="AI49" i="1"/>
  <c r="AJ49" i="1"/>
  <c r="AG49" i="1"/>
  <c r="AH49" i="1"/>
  <c r="D40" i="1"/>
  <c r="D42" i="1"/>
  <c r="D44" i="1"/>
  <c r="D46" i="1"/>
  <c r="D48" i="1"/>
  <c r="D50" i="1"/>
  <c r="AI46" i="1"/>
  <c r="AJ46" i="1"/>
  <c r="AE46" i="1"/>
  <c r="AF46" i="1"/>
  <c r="AG46" i="1"/>
  <c r="AH46" i="1"/>
  <c r="AP26" i="1"/>
  <c r="AM26" i="1"/>
  <c r="AN26" i="1"/>
  <c r="AO26" i="1"/>
  <c r="AK26" i="1"/>
  <c r="AQ26" i="1"/>
  <c r="AL26" i="1"/>
  <c r="AP10" i="1"/>
  <c r="AM10" i="1"/>
  <c r="AN10" i="1"/>
  <c r="AO10" i="1"/>
  <c r="AK10" i="1"/>
  <c r="AQ10" i="1"/>
  <c r="AL10" i="1"/>
  <c r="AM37" i="1"/>
  <c r="AK37" i="1"/>
  <c r="AO37" i="1"/>
  <c r="AN37" i="1"/>
  <c r="AQ37" i="1"/>
  <c r="AP37" i="1"/>
  <c r="AL37" i="1"/>
  <c r="AM9" i="1"/>
  <c r="AP9" i="1"/>
  <c r="AO9" i="1"/>
  <c r="AN9" i="1"/>
  <c r="AK9" i="1"/>
  <c r="AQ9" i="1"/>
  <c r="AL9" i="1"/>
  <c r="AQ36" i="1"/>
  <c r="AO36" i="1"/>
  <c r="AN36" i="1"/>
  <c r="AK36" i="1"/>
  <c r="AP36" i="1"/>
  <c r="AM36" i="1"/>
  <c r="AL36" i="1"/>
  <c r="AQ8" i="1"/>
  <c r="AN8" i="1"/>
  <c r="AK8" i="1"/>
  <c r="AO8" i="1"/>
  <c r="AM8" i="1"/>
  <c r="AP8" i="1"/>
  <c r="AL8" i="1"/>
  <c r="AQ31" i="1"/>
  <c r="AP31" i="1"/>
  <c r="AN31" i="1"/>
  <c r="AK31" i="1"/>
  <c r="AO31" i="1"/>
  <c r="AM31" i="1"/>
  <c r="AL31" i="1"/>
  <c r="AQ15" i="1"/>
  <c r="AP15" i="1"/>
  <c r="AN15" i="1"/>
  <c r="AM15" i="1"/>
  <c r="AK15" i="1"/>
  <c r="AO15" i="1"/>
  <c r="AL15" i="1"/>
  <c r="AQ20" i="1"/>
  <c r="AO20" i="1"/>
  <c r="AN20" i="1"/>
  <c r="AK20" i="1"/>
  <c r="AP20" i="1"/>
  <c r="AM20" i="1"/>
  <c r="AL20" i="1"/>
  <c r="AI44" i="1"/>
  <c r="AJ44" i="1"/>
  <c r="AG44" i="1"/>
  <c r="AH44" i="1"/>
  <c r="AE44" i="1"/>
  <c r="AF44" i="1"/>
  <c r="AP30" i="1"/>
  <c r="AM30" i="1"/>
  <c r="AK30" i="1"/>
  <c r="AO30" i="1"/>
  <c r="AN30" i="1"/>
  <c r="AQ30" i="1"/>
  <c r="AL30" i="1"/>
  <c r="AP14" i="1"/>
  <c r="AM14" i="1"/>
  <c r="AK14" i="1"/>
  <c r="AO14" i="1"/>
  <c r="AN14" i="1"/>
  <c r="AQ14" i="1"/>
  <c r="AL14" i="1"/>
  <c r="AQ12" i="1"/>
  <c r="AO12" i="1"/>
  <c r="AN12" i="1"/>
  <c r="AK12" i="1"/>
  <c r="AM12" i="1"/>
  <c r="AP12" i="1"/>
  <c r="AL12" i="1"/>
  <c r="AQ35" i="1"/>
  <c r="AP35" i="1"/>
  <c r="AO35" i="1"/>
  <c r="AK35" i="1"/>
  <c r="AN35" i="1"/>
  <c r="AM35" i="1"/>
  <c r="AL35" i="1"/>
  <c r="AQ19" i="1"/>
  <c r="AP19" i="1"/>
  <c r="AO19" i="1"/>
  <c r="AK19" i="1"/>
  <c r="AN19" i="1"/>
  <c r="AM19" i="1"/>
  <c r="AL19" i="1"/>
  <c r="AM33" i="1"/>
  <c r="AO33" i="1"/>
  <c r="AN33" i="1"/>
  <c r="AK33" i="1"/>
  <c r="AP33" i="1"/>
  <c r="AQ33" i="1"/>
  <c r="AL33" i="1"/>
  <c r="AM29" i="1"/>
  <c r="AK29" i="1"/>
  <c r="AO29" i="1"/>
  <c r="AN29" i="1"/>
  <c r="AP29" i="1"/>
  <c r="AQ29" i="1"/>
  <c r="AL29" i="1"/>
  <c r="AQ32" i="1"/>
  <c r="AN32" i="1"/>
  <c r="AK32" i="1"/>
  <c r="AO32" i="1"/>
  <c r="AP32" i="1"/>
  <c r="AM32" i="1"/>
  <c r="AL32" i="1"/>
  <c r="AI50" i="1"/>
  <c r="AJ50" i="1"/>
  <c r="AE50" i="1"/>
  <c r="AF50" i="1"/>
  <c r="AG50" i="1"/>
  <c r="AH50" i="1"/>
  <c r="AI42" i="1"/>
  <c r="AJ42" i="1"/>
  <c r="AE42" i="1"/>
  <c r="AF42" i="1"/>
  <c r="AG42" i="1"/>
  <c r="AH42" i="1"/>
  <c r="AP34" i="1"/>
  <c r="AM34" i="1"/>
  <c r="AN34" i="1"/>
  <c r="AO34" i="1"/>
  <c r="AK34" i="1"/>
  <c r="AQ34" i="1"/>
  <c r="AL34" i="1"/>
  <c r="AP18" i="1"/>
  <c r="AM18" i="1"/>
  <c r="AN18" i="1"/>
  <c r="AO18" i="1"/>
  <c r="AK18" i="1"/>
  <c r="AQ18" i="1"/>
  <c r="AL18" i="1"/>
  <c r="AM17" i="1"/>
  <c r="AO17" i="1"/>
  <c r="AN17" i="1"/>
  <c r="AK17" i="1"/>
  <c r="AQ17" i="1"/>
  <c r="AP17" i="1"/>
  <c r="AL17" i="1"/>
  <c r="AM13" i="1"/>
  <c r="AK13" i="1"/>
  <c r="AQ13" i="1"/>
  <c r="AO13" i="1"/>
  <c r="AN13" i="1"/>
  <c r="AP13" i="1"/>
  <c r="AL13" i="1"/>
  <c r="AQ24" i="1"/>
  <c r="AN24" i="1"/>
  <c r="AK24" i="1"/>
  <c r="AO24" i="1"/>
  <c r="AM24" i="1"/>
  <c r="AP24" i="1"/>
  <c r="AL24" i="1"/>
  <c r="AQ39" i="1"/>
  <c r="AP39" i="1"/>
  <c r="AN39" i="1"/>
  <c r="AK39" i="1"/>
  <c r="AO39" i="1"/>
  <c r="AM39" i="1"/>
  <c r="AL39" i="1"/>
  <c r="AQ23" i="1"/>
  <c r="AP23" i="1"/>
  <c r="AN23" i="1"/>
  <c r="AK23" i="1"/>
  <c r="AO23" i="1"/>
  <c r="AM23" i="1"/>
  <c r="AL23" i="1"/>
  <c r="AQ7" i="1"/>
  <c r="AP7" i="1"/>
  <c r="AO7" i="1"/>
  <c r="AM7" i="1"/>
  <c r="AK7" i="1"/>
  <c r="AN7" i="1"/>
  <c r="AL7" i="1"/>
  <c r="AI48" i="1"/>
  <c r="AJ48" i="1"/>
  <c r="AG48" i="1"/>
  <c r="AH48" i="1"/>
  <c r="AE48" i="1"/>
  <c r="AF48" i="1"/>
  <c r="AI40" i="1"/>
  <c r="AJ40" i="1"/>
  <c r="AG40" i="1"/>
  <c r="AH40" i="1"/>
  <c r="AE40" i="1"/>
  <c r="AF40" i="1"/>
  <c r="AP38" i="1"/>
  <c r="AM38" i="1"/>
  <c r="AK38" i="1"/>
  <c r="AO38" i="1"/>
  <c r="AN38" i="1"/>
  <c r="AQ38" i="1"/>
  <c r="AL38" i="1"/>
  <c r="AP22" i="1"/>
  <c r="AM22" i="1"/>
  <c r="AK22" i="1"/>
  <c r="AO22" i="1"/>
  <c r="AN22" i="1"/>
  <c r="AQ22" i="1"/>
  <c r="AL22" i="1"/>
  <c r="AO4" i="1"/>
  <c r="AP4" i="1"/>
  <c r="AQ4" i="1"/>
  <c r="AM4" i="1"/>
  <c r="AN4" i="1"/>
  <c r="AK4" i="1"/>
  <c r="AL4" i="1"/>
  <c r="AM25" i="1"/>
  <c r="AO25" i="1"/>
  <c r="AN25" i="1"/>
  <c r="AK25" i="1"/>
  <c r="AQ25" i="1"/>
  <c r="AP25" i="1"/>
  <c r="AL25" i="1"/>
  <c r="AM5" i="1"/>
  <c r="AL5" i="1"/>
  <c r="AO5" i="1"/>
  <c r="AN5" i="1"/>
  <c r="AK5" i="1"/>
  <c r="AP5" i="1"/>
  <c r="AQ5" i="1"/>
  <c r="AQ28" i="1"/>
  <c r="AO28" i="1"/>
  <c r="AN28" i="1"/>
  <c r="AK28" i="1"/>
  <c r="AP28" i="1"/>
  <c r="AM28" i="1"/>
  <c r="AL28" i="1"/>
  <c r="AP6" i="1"/>
  <c r="AM6" i="1"/>
  <c r="AK6" i="1"/>
  <c r="AO6" i="1"/>
  <c r="AN6" i="1"/>
  <c r="AQ6" i="1"/>
  <c r="AL6" i="1"/>
  <c r="AQ27" i="1"/>
  <c r="AP27" i="1"/>
  <c r="AO27" i="1"/>
  <c r="AK27" i="1"/>
  <c r="AN27" i="1"/>
  <c r="AM27" i="1"/>
  <c r="AL27" i="1"/>
  <c r="AQ11" i="1"/>
  <c r="AP11" i="1"/>
  <c r="AO11" i="1"/>
  <c r="AK11" i="1"/>
  <c r="AN11" i="1"/>
  <c r="AM11" i="1"/>
  <c r="AL11" i="1"/>
  <c r="AM21" i="1"/>
  <c r="AK21" i="1"/>
  <c r="AO21" i="1"/>
  <c r="AN21" i="1"/>
  <c r="AQ21" i="1"/>
  <c r="AP21" i="1"/>
  <c r="AL21" i="1"/>
  <c r="AQ16" i="1"/>
  <c r="AN16" i="1"/>
  <c r="AK16" i="1"/>
  <c r="AO16" i="1"/>
  <c r="AP16" i="1"/>
  <c r="AM16" i="1"/>
  <c r="AL16" i="1"/>
  <c r="AQ51" i="1"/>
  <c r="AO51" i="1"/>
  <c r="AM51" i="1"/>
  <c r="AK51" i="1"/>
  <c r="AP51" i="1"/>
  <c r="AN51" i="1"/>
  <c r="AL51" i="1"/>
  <c r="AQ47" i="1"/>
  <c r="AO47" i="1"/>
  <c r="AM47" i="1"/>
  <c r="AK47" i="1"/>
  <c r="AP47" i="1"/>
  <c r="AN47" i="1"/>
  <c r="AL47" i="1"/>
  <c r="AQ43" i="1"/>
  <c r="AO43" i="1"/>
  <c r="AM43" i="1"/>
  <c r="AK43" i="1"/>
  <c r="AP43" i="1"/>
  <c r="AN43" i="1"/>
  <c r="AL43" i="1"/>
  <c r="AQ49" i="1"/>
  <c r="AO49" i="1"/>
  <c r="AM49" i="1"/>
  <c r="AK49" i="1"/>
  <c r="AP49" i="1"/>
  <c r="AN49" i="1"/>
  <c r="AL49" i="1"/>
  <c r="AQ45" i="1"/>
  <c r="AO45" i="1"/>
  <c r="AM45" i="1"/>
  <c r="AK45" i="1"/>
  <c r="AP45" i="1"/>
  <c r="AN45" i="1"/>
  <c r="AL45" i="1"/>
  <c r="AQ41" i="1"/>
  <c r="AO41" i="1"/>
  <c r="AM41" i="1"/>
  <c r="AK41" i="1"/>
  <c r="AP41" i="1"/>
  <c r="AN41" i="1"/>
  <c r="AL41" i="1"/>
  <c r="AK44" i="1"/>
  <c r="AN46" i="1"/>
  <c r="AL48" i="1"/>
  <c r="AP40" i="1"/>
  <c r="AP50" i="1"/>
  <c r="AL44" i="1"/>
  <c r="AM46" i="1"/>
  <c r="AL42" i="1"/>
  <c r="AO40" i="1"/>
  <c r="AQ44" i="1"/>
  <c r="AK42" i="1"/>
  <c r="AO50" i="1"/>
  <c r="AQ40" i="1"/>
  <c r="AN48" i="1"/>
  <c r="AQ42" i="1"/>
  <c r="AN50" i="1"/>
  <c r="AL46" i="1"/>
  <c r="AK48" i="1"/>
  <c r="AN40" i="1"/>
  <c r="AQ48" i="1"/>
  <c r="AP44" i="1"/>
  <c r="AM42" i="1"/>
  <c r="AO46" i="1"/>
  <c r="AP46" i="1"/>
  <c r="AQ50" i="1"/>
  <c r="AM48" i="1"/>
  <c r="AO42" i="1"/>
  <c r="AP42" i="1"/>
  <c r="AQ46" i="1"/>
  <c r="AK50" i="1"/>
  <c r="AL50" i="1"/>
  <c r="AK40" i="1"/>
  <c r="AL40" i="1"/>
  <c r="AM44" i="1"/>
  <c r="AN44" i="1"/>
  <c r="AO48" i="1"/>
  <c r="AP48" i="1"/>
  <c r="AN42" i="1"/>
  <c r="AK46" i="1"/>
  <c r="AM50" i="1"/>
  <c r="AM40" i="1"/>
  <c r="AO44" i="1"/>
  <c r="A61" i="1"/>
  <c r="A73" i="1"/>
  <c r="A56" i="1"/>
  <c r="D56" i="1"/>
  <c r="A58" i="1"/>
  <c r="A70" i="1"/>
  <c r="A82" i="1"/>
  <c r="A52" i="1"/>
  <c r="A64" i="1"/>
  <c r="D64" i="1"/>
  <c r="A53" i="1"/>
  <c r="D53" i="1"/>
  <c r="A54" i="1"/>
  <c r="A66" i="1"/>
  <c r="D66" i="1"/>
  <c r="A55" i="1"/>
  <c r="D55" i="1"/>
  <c r="A57" i="1"/>
  <c r="D57" i="1"/>
  <c r="D58" i="1"/>
  <c r="A59" i="1"/>
  <c r="D59" i="1"/>
  <c r="A60" i="1"/>
  <c r="D60" i="1"/>
  <c r="D61" i="1"/>
  <c r="A62" i="1"/>
  <c r="D62" i="1"/>
  <c r="A63" i="1"/>
  <c r="A75" i="1"/>
  <c r="A67" i="1"/>
  <c r="A79" i="1"/>
  <c r="A71" i="1"/>
  <c r="D71" i="1"/>
  <c r="A78" i="1"/>
  <c r="A74" i="1"/>
  <c r="A65" i="1"/>
  <c r="A69" i="1"/>
  <c r="A72" i="1"/>
  <c r="D67" i="1"/>
  <c r="AE67" i="1"/>
  <c r="AF67" i="1"/>
  <c r="D63" i="1"/>
  <c r="D54" i="1"/>
  <c r="AI54" i="1"/>
  <c r="AJ54" i="1"/>
  <c r="D52" i="1"/>
  <c r="AE52" i="1"/>
  <c r="AF52" i="1"/>
  <c r="AI67" i="1"/>
  <c r="AJ67" i="1"/>
  <c r="D78" i="1"/>
  <c r="A90" i="1"/>
  <c r="D75" i="1"/>
  <c r="A87" i="1"/>
  <c r="D87" i="1"/>
  <c r="AI66" i="1"/>
  <c r="AJ66" i="1"/>
  <c r="AE66" i="1"/>
  <c r="AF66" i="1"/>
  <c r="AG66" i="1"/>
  <c r="AH66" i="1"/>
  <c r="A76" i="1"/>
  <c r="D79" i="1"/>
  <c r="A91" i="1"/>
  <c r="D91" i="1"/>
  <c r="AI64" i="1"/>
  <c r="AJ64" i="1"/>
  <c r="AE64" i="1"/>
  <c r="AF64" i="1"/>
  <c r="AG64" i="1"/>
  <c r="AH64" i="1"/>
  <c r="D74" i="1"/>
  <c r="A86" i="1"/>
  <c r="AE61" i="1"/>
  <c r="AF61" i="1"/>
  <c r="AG61" i="1"/>
  <c r="AH61" i="1"/>
  <c r="AI61" i="1"/>
  <c r="AJ61" i="1"/>
  <c r="AI56" i="1"/>
  <c r="AJ56" i="1"/>
  <c r="AG56" i="1"/>
  <c r="AH56" i="1"/>
  <c r="AE56" i="1"/>
  <c r="AF56" i="1"/>
  <c r="AI59" i="1"/>
  <c r="AJ59" i="1"/>
  <c r="AG59" i="1"/>
  <c r="AH59" i="1"/>
  <c r="AE59" i="1"/>
  <c r="AF59" i="1"/>
  <c r="AI63" i="1"/>
  <c r="AJ63" i="1"/>
  <c r="AG63" i="1"/>
  <c r="AH63" i="1"/>
  <c r="AE63" i="1"/>
  <c r="AF63" i="1"/>
  <c r="AI57" i="1"/>
  <c r="AJ57" i="1"/>
  <c r="AE57" i="1"/>
  <c r="AF57" i="1"/>
  <c r="AG57" i="1"/>
  <c r="AH57" i="1"/>
  <c r="AG54" i="1"/>
  <c r="AH54" i="1"/>
  <c r="AI60" i="1"/>
  <c r="AJ60" i="1"/>
  <c r="AG60" i="1"/>
  <c r="AH60" i="1"/>
  <c r="AE60" i="1"/>
  <c r="AF60" i="1"/>
  <c r="AI71" i="1"/>
  <c r="AJ71" i="1"/>
  <c r="AG71" i="1"/>
  <c r="AH71" i="1"/>
  <c r="AE71" i="1"/>
  <c r="AF71" i="1"/>
  <c r="AI62" i="1"/>
  <c r="AJ62" i="1"/>
  <c r="AE62" i="1"/>
  <c r="AF62" i="1"/>
  <c r="AG62" i="1"/>
  <c r="AH62" i="1"/>
  <c r="AI55" i="1"/>
  <c r="AJ55" i="1"/>
  <c r="AG55" i="1"/>
  <c r="AH55" i="1"/>
  <c r="AE55" i="1"/>
  <c r="AF55" i="1"/>
  <c r="AI53" i="1"/>
  <c r="AJ53" i="1"/>
  <c r="AE53" i="1"/>
  <c r="AF53" i="1"/>
  <c r="AG53" i="1"/>
  <c r="AH53" i="1"/>
  <c r="D70" i="1"/>
  <c r="A68" i="1"/>
  <c r="AI58" i="1"/>
  <c r="AJ58" i="1"/>
  <c r="AE58" i="1"/>
  <c r="AF58" i="1"/>
  <c r="AG58" i="1"/>
  <c r="AH58" i="1"/>
  <c r="A85" i="1"/>
  <c r="A97" i="1"/>
  <c r="D73" i="1"/>
  <c r="A103" i="1"/>
  <c r="A99" i="1"/>
  <c r="A83" i="1"/>
  <c r="D82" i="1"/>
  <c r="A94" i="1"/>
  <c r="D85" i="1"/>
  <c r="AI52" i="1"/>
  <c r="AJ52" i="1"/>
  <c r="AG52" i="1"/>
  <c r="AH52" i="1"/>
  <c r="AE54" i="1"/>
  <c r="AF54" i="1"/>
  <c r="AP54" i="1"/>
  <c r="A77" i="1"/>
  <c r="D65" i="1"/>
  <c r="AG67" i="1"/>
  <c r="AH67" i="1"/>
  <c r="AP67" i="1"/>
  <c r="D72" i="1"/>
  <c r="A84" i="1"/>
  <c r="A81" i="1"/>
  <c r="D69" i="1"/>
  <c r="AO59" i="1"/>
  <c r="AN56" i="1"/>
  <c r="AO64" i="1"/>
  <c r="AQ53" i="1"/>
  <c r="AM63" i="1"/>
  <c r="AP61" i="1"/>
  <c r="AP53" i="1"/>
  <c r="AN60" i="1"/>
  <c r="AO57" i="1"/>
  <c r="AM61" i="1"/>
  <c r="AL58" i="1"/>
  <c r="AP55" i="1"/>
  <c r="AN62" i="1"/>
  <c r="AQ71" i="1"/>
  <c r="AL59" i="1"/>
  <c r="AK56" i="1"/>
  <c r="AL57" i="1"/>
  <c r="AQ60" i="1"/>
  <c r="AL53" i="1"/>
  <c r="AM57" i="1"/>
  <c r="AL71" i="1"/>
  <c r="AK55" i="1"/>
  <c r="AM62" i="1"/>
  <c r="AO63" i="1"/>
  <c r="AQ56" i="1"/>
  <c r="AO66" i="1"/>
  <c r="AP66" i="1"/>
  <c r="AM55" i="1"/>
  <c r="AP60" i="1"/>
  <c r="AK61" i="1"/>
  <c r="AI85" i="1"/>
  <c r="AJ85" i="1"/>
  <c r="AE85" i="1"/>
  <c r="AF85" i="1"/>
  <c r="AG85" i="1"/>
  <c r="AH85" i="1"/>
  <c r="AQ58" i="1"/>
  <c r="AP58" i="1"/>
  <c r="AO58" i="1"/>
  <c r="AI70" i="1"/>
  <c r="AJ70" i="1"/>
  <c r="AE70" i="1"/>
  <c r="AF70" i="1"/>
  <c r="AG70" i="1"/>
  <c r="AH70" i="1"/>
  <c r="AO71" i="1"/>
  <c r="AN71" i="1"/>
  <c r="AQ59" i="1"/>
  <c r="AP59" i="1"/>
  <c r="AN64" i="1"/>
  <c r="AM64" i="1"/>
  <c r="AI79" i="1"/>
  <c r="AJ79" i="1"/>
  <c r="AG79" i="1"/>
  <c r="AH79" i="1"/>
  <c r="AE79" i="1"/>
  <c r="AF79" i="1"/>
  <c r="AM56" i="1"/>
  <c r="AP56" i="1"/>
  <c r="AQ64" i="1"/>
  <c r="AL63" i="1"/>
  <c r="AO53" i="1"/>
  <c r="AN53" i="1"/>
  <c r="AK63" i="1"/>
  <c r="AI74" i="1"/>
  <c r="AJ74" i="1"/>
  <c r="AE74" i="1"/>
  <c r="AF74" i="1"/>
  <c r="AG74" i="1"/>
  <c r="AH74" i="1"/>
  <c r="D90" i="1"/>
  <c r="A102" i="1"/>
  <c r="AO61" i="1"/>
  <c r="AO56" i="1"/>
  <c r="AM60" i="1"/>
  <c r="AL64" i="1"/>
  <c r="AK59" i="1"/>
  <c r="AN63" i="1"/>
  <c r="AQ63" i="1"/>
  <c r="AK71" i="1"/>
  <c r="AK58" i="1"/>
  <c r="AL62" i="1"/>
  <c r="AK62" i="1"/>
  <c r="AQ62" i="1"/>
  <c r="D86" i="1"/>
  <c r="A98" i="1"/>
  <c r="AN66" i="1"/>
  <c r="AM66" i="1"/>
  <c r="AL66" i="1"/>
  <c r="AK66" i="1"/>
  <c r="AI75" i="1"/>
  <c r="AJ75" i="1"/>
  <c r="AG75" i="1"/>
  <c r="AH75" i="1"/>
  <c r="AE75" i="1"/>
  <c r="AF75" i="1"/>
  <c r="AN59" i="1"/>
  <c r="AP71" i="1"/>
  <c r="AN58" i="1"/>
  <c r="AP62" i="1"/>
  <c r="AO55" i="1"/>
  <c r="AN55" i="1"/>
  <c r="AL60" i="1"/>
  <c r="AK60" i="1"/>
  <c r="AQ57" i="1"/>
  <c r="AP57" i="1"/>
  <c r="AK53" i="1"/>
  <c r="AN57" i="1"/>
  <c r="AL61" i="1"/>
  <c r="AI82" i="1"/>
  <c r="AJ82" i="1"/>
  <c r="AE82" i="1"/>
  <c r="AF82" i="1"/>
  <c r="AG82" i="1"/>
  <c r="AH82" i="1"/>
  <c r="AM53" i="1"/>
  <c r="AK57" i="1"/>
  <c r="AN61" i="1"/>
  <c r="AQ61" i="1"/>
  <c r="AL56" i="1"/>
  <c r="AO60" i="1"/>
  <c r="AK64" i="1"/>
  <c r="AP64" i="1"/>
  <c r="AL55" i="1"/>
  <c r="AQ55" i="1"/>
  <c r="AM59" i="1"/>
  <c r="AP63" i="1"/>
  <c r="AM71" i="1"/>
  <c r="AM58" i="1"/>
  <c r="AO62" i="1"/>
  <c r="AQ66" i="1"/>
  <c r="AI73" i="1"/>
  <c r="AJ73" i="1"/>
  <c r="AE73" i="1"/>
  <c r="AF73" i="1"/>
  <c r="AG73" i="1"/>
  <c r="AH73" i="1"/>
  <c r="AI78" i="1"/>
  <c r="AJ78" i="1"/>
  <c r="AE78" i="1"/>
  <c r="AF78" i="1"/>
  <c r="AG78" i="1"/>
  <c r="AH78" i="1"/>
  <c r="D68" i="1"/>
  <c r="A80" i="1"/>
  <c r="AI91" i="1"/>
  <c r="AJ91" i="1"/>
  <c r="AG91" i="1"/>
  <c r="AH91" i="1"/>
  <c r="AE91" i="1"/>
  <c r="AF91" i="1"/>
  <c r="D76" i="1"/>
  <c r="A88" i="1"/>
  <c r="AI87" i="1"/>
  <c r="AJ87" i="1"/>
  <c r="AG87" i="1"/>
  <c r="AH87" i="1"/>
  <c r="AE87" i="1"/>
  <c r="AF87" i="1"/>
  <c r="D99" i="1"/>
  <c r="A111" i="1"/>
  <c r="D103" i="1"/>
  <c r="A115" i="1"/>
  <c r="D83" i="1"/>
  <c r="A95" i="1"/>
  <c r="D97" i="1"/>
  <c r="A109" i="1"/>
  <c r="D94" i="1"/>
  <c r="A106" i="1"/>
  <c r="AN52" i="1"/>
  <c r="AQ52" i="1"/>
  <c r="AO52" i="1"/>
  <c r="AK54" i="1"/>
  <c r="AP52" i="1"/>
  <c r="AK52" i="1"/>
  <c r="AO54" i="1"/>
  <c r="AL52" i="1"/>
  <c r="AM52" i="1"/>
  <c r="AI65" i="1"/>
  <c r="AJ65" i="1"/>
  <c r="AG65" i="1"/>
  <c r="AH65" i="1"/>
  <c r="AE65" i="1"/>
  <c r="AF65" i="1"/>
  <c r="AN54" i="1"/>
  <c r="AL54" i="1"/>
  <c r="AQ54" i="1"/>
  <c r="D77" i="1"/>
  <c r="A89" i="1"/>
  <c r="AM54" i="1"/>
  <c r="AQ67" i="1"/>
  <c r="AK67" i="1"/>
  <c r="AN67" i="1"/>
  <c r="AO67" i="1"/>
  <c r="AL67" i="1"/>
  <c r="AM67" i="1"/>
  <c r="A93" i="1"/>
  <c r="D81" i="1"/>
  <c r="D84" i="1"/>
  <c r="A96" i="1"/>
  <c r="AE72" i="1"/>
  <c r="AF72" i="1"/>
  <c r="AI72" i="1"/>
  <c r="AJ72" i="1"/>
  <c r="AG72" i="1"/>
  <c r="AH72" i="1"/>
  <c r="AI69" i="1"/>
  <c r="AJ69" i="1"/>
  <c r="AE69" i="1"/>
  <c r="AF69" i="1"/>
  <c r="AG69" i="1"/>
  <c r="AH69" i="1"/>
  <c r="AO73" i="1"/>
  <c r="AM73" i="1"/>
  <c r="AN82" i="1"/>
  <c r="AQ85" i="1"/>
  <c r="AO82" i="1"/>
  <c r="AP82" i="1"/>
  <c r="AN73" i="1"/>
  <c r="AK85" i="1"/>
  <c r="AG97" i="1"/>
  <c r="AH97" i="1"/>
  <c r="AE97" i="1"/>
  <c r="AF97" i="1"/>
  <c r="AI97" i="1"/>
  <c r="AJ97" i="1"/>
  <c r="AI103" i="1"/>
  <c r="AJ103" i="1"/>
  <c r="AG103" i="1"/>
  <c r="AH103" i="1"/>
  <c r="AE103" i="1"/>
  <c r="AF103" i="1"/>
  <c r="AL78" i="1"/>
  <c r="AK78" i="1"/>
  <c r="AQ78" i="1"/>
  <c r="AP78" i="1"/>
  <c r="AO78" i="1"/>
  <c r="AM78" i="1"/>
  <c r="AN78" i="1"/>
  <c r="AM87" i="1"/>
  <c r="AL87" i="1"/>
  <c r="AO87" i="1"/>
  <c r="AP87" i="1"/>
  <c r="AQ87" i="1"/>
  <c r="AN87" i="1"/>
  <c r="AK87" i="1"/>
  <c r="D80" i="1"/>
  <c r="A92" i="1"/>
  <c r="AQ75" i="1"/>
  <c r="AP75" i="1"/>
  <c r="AK75" i="1"/>
  <c r="AO75" i="1"/>
  <c r="AM75" i="1"/>
  <c r="AN75" i="1"/>
  <c r="AL75" i="1"/>
  <c r="D98" i="1"/>
  <c r="A110" i="1"/>
  <c r="D102" i="1"/>
  <c r="A114" i="1"/>
  <c r="AQ74" i="1"/>
  <c r="AP74" i="1"/>
  <c r="AO74" i="1"/>
  <c r="AN74" i="1"/>
  <c r="AM74" i="1"/>
  <c r="AL74" i="1"/>
  <c r="AK74" i="1"/>
  <c r="AI76" i="1"/>
  <c r="AJ76" i="1"/>
  <c r="AE76" i="1"/>
  <c r="AF76" i="1"/>
  <c r="AG76" i="1"/>
  <c r="AH76" i="1"/>
  <c r="AP73" i="1"/>
  <c r="AQ73" i="1"/>
  <c r="AQ82" i="1"/>
  <c r="AL85" i="1"/>
  <c r="AM85" i="1"/>
  <c r="AP70" i="1"/>
  <c r="AO70" i="1"/>
  <c r="AN70" i="1"/>
  <c r="AM70" i="1"/>
  <c r="AL70" i="1"/>
  <c r="AQ70" i="1"/>
  <c r="AK70" i="1"/>
  <c r="AG94" i="1"/>
  <c r="AH94" i="1"/>
  <c r="AI94" i="1"/>
  <c r="AJ94" i="1"/>
  <c r="AE94" i="1"/>
  <c r="AF94" i="1"/>
  <c r="AI83" i="1"/>
  <c r="AJ83" i="1"/>
  <c r="AG83" i="1"/>
  <c r="AH83" i="1"/>
  <c r="AE83" i="1"/>
  <c r="AF83" i="1"/>
  <c r="AI99" i="1"/>
  <c r="AJ99" i="1"/>
  <c r="AG99" i="1"/>
  <c r="AH99" i="1"/>
  <c r="AE99" i="1"/>
  <c r="AF99" i="1"/>
  <c r="AK73" i="1"/>
  <c r="AK82" i="1"/>
  <c r="AL82" i="1"/>
  <c r="AN85" i="1"/>
  <c r="AO85" i="1"/>
  <c r="AO91" i="1"/>
  <c r="AN91" i="1"/>
  <c r="AK91" i="1"/>
  <c r="AQ91" i="1"/>
  <c r="AL91" i="1"/>
  <c r="AP91" i="1"/>
  <c r="AM91" i="1"/>
  <c r="AL73" i="1"/>
  <c r="AM82" i="1"/>
  <c r="AP85" i="1"/>
  <c r="D88" i="1"/>
  <c r="A100" i="1"/>
  <c r="AI68" i="1"/>
  <c r="AJ68" i="1"/>
  <c r="AE68" i="1"/>
  <c r="AF68" i="1"/>
  <c r="AG68" i="1"/>
  <c r="AH68" i="1"/>
  <c r="AG86" i="1"/>
  <c r="AH86" i="1"/>
  <c r="AI86" i="1"/>
  <c r="AJ86" i="1"/>
  <c r="AE86" i="1"/>
  <c r="AF86" i="1"/>
  <c r="AG90" i="1"/>
  <c r="AH90" i="1"/>
  <c r="AI90" i="1"/>
  <c r="AJ90" i="1"/>
  <c r="AE90" i="1"/>
  <c r="AF90" i="1"/>
  <c r="AK79" i="1"/>
  <c r="AQ79" i="1"/>
  <c r="AN79" i="1"/>
  <c r="AO79" i="1"/>
  <c r="AL79" i="1"/>
  <c r="AM79" i="1"/>
  <c r="AP79" i="1"/>
  <c r="D95" i="1"/>
  <c r="A107" i="1"/>
  <c r="D111" i="1"/>
  <c r="A123" i="1"/>
  <c r="D115" i="1"/>
  <c r="A127" i="1"/>
  <c r="D106" i="1"/>
  <c r="A118" i="1"/>
  <c r="D109" i="1"/>
  <c r="A121" i="1"/>
  <c r="D89" i="1"/>
  <c r="A101" i="1"/>
  <c r="AG77" i="1"/>
  <c r="AH77" i="1"/>
  <c r="AI77" i="1"/>
  <c r="AJ77" i="1"/>
  <c r="AE77" i="1"/>
  <c r="AF77" i="1"/>
  <c r="AP65" i="1"/>
  <c r="AL65" i="1"/>
  <c r="AK65" i="1"/>
  <c r="AO65" i="1"/>
  <c r="AQ65" i="1"/>
  <c r="AN65" i="1"/>
  <c r="AM65" i="1"/>
  <c r="A108" i="1"/>
  <c r="D96" i="1"/>
  <c r="AP69" i="1"/>
  <c r="AL69" i="1"/>
  <c r="AO69" i="1"/>
  <c r="AK69" i="1"/>
  <c r="AQ69" i="1"/>
  <c r="AM69" i="1"/>
  <c r="AN69" i="1"/>
  <c r="AE81" i="1"/>
  <c r="AF81" i="1"/>
  <c r="AG81" i="1"/>
  <c r="AH81" i="1"/>
  <c r="AI81" i="1"/>
  <c r="AJ81" i="1"/>
  <c r="AQ72" i="1"/>
  <c r="AP72" i="1"/>
  <c r="AL72" i="1"/>
  <c r="AN72" i="1"/>
  <c r="AM72" i="1"/>
  <c r="AK72" i="1"/>
  <c r="AO72" i="1"/>
  <c r="AE84" i="1"/>
  <c r="AF84" i="1"/>
  <c r="AI84" i="1"/>
  <c r="AJ84" i="1"/>
  <c r="AG84" i="1"/>
  <c r="AH84" i="1"/>
  <c r="D93" i="1"/>
  <c r="A105" i="1"/>
  <c r="AQ99" i="1"/>
  <c r="AM94" i="1"/>
  <c r="AL83" i="1"/>
  <c r="AN94" i="1"/>
  <c r="AQ103" i="1"/>
  <c r="AL97" i="1"/>
  <c r="AM83" i="1"/>
  <c r="AK103" i="1"/>
  <c r="AK83" i="1"/>
  <c r="AP103" i="1"/>
  <c r="AP99" i="1"/>
  <c r="AO99" i="1"/>
  <c r="AP94" i="1"/>
  <c r="AO97" i="1"/>
  <c r="AM97" i="1"/>
  <c r="AQ83" i="1"/>
  <c r="AL94" i="1"/>
  <c r="AO103" i="1"/>
  <c r="AK97" i="1"/>
  <c r="AQ90" i="1"/>
  <c r="AP90" i="1"/>
  <c r="AM90" i="1"/>
  <c r="AL90" i="1"/>
  <c r="AO90" i="1"/>
  <c r="AN90" i="1"/>
  <c r="AK90" i="1"/>
  <c r="D100" i="1"/>
  <c r="A112" i="1"/>
  <c r="AM99" i="1"/>
  <c r="AP68" i="1"/>
  <c r="AO68" i="1"/>
  <c r="AL68" i="1"/>
  <c r="AQ68" i="1"/>
  <c r="AM68" i="1"/>
  <c r="AN68" i="1"/>
  <c r="AK68" i="1"/>
  <c r="AI88" i="1"/>
  <c r="AJ88" i="1"/>
  <c r="AG88" i="1"/>
  <c r="AH88" i="1"/>
  <c r="AE88" i="1"/>
  <c r="AF88" i="1"/>
  <c r="D110" i="1"/>
  <c r="A122" i="1"/>
  <c r="D114" i="1"/>
  <c r="A126" i="1"/>
  <c r="AI80" i="1"/>
  <c r="AJ80" i="1"/>
  <c r="AE80" i="1"/>
  <c r="AF80" i="1"/>
  <c r="AG80" i="1"/>
  <c r="AH80" i="1"/>
  <c r="AG109" i="1"/>
  <c r="AH109" i="1"/>
  <c r="AE109" i="1"/>
  <c r="AF109" i="1"/>
  <c r="AI109" i="1"/>
  <c r="AJ109" i="1"/>
  <c r="AI115" i="1"/>
  <c r="AJ115" i="1"/>
  <c r="AG115" i="1"/>
  <c r="AH115" i="1"/>
  <c r="AE115" i="1"/>
  <c r="AF115" i="1"/>
  <c r="AI111" i="1"/>
  <c r="AJ111" i="1"/>
  <c r="AG111" i="1"/>
  <c r="AH111" i="1"/>
  <c r="AE111" i="1"/>
  <c r="AF111" i="1"/>
  <c r="AN97" i="1"/>
  <c r="AO94" i="1"/>
  <c r="AK99" i="1"/>
  <c r="AG102" i="1"/>
  <c r="AH102" i="1"/>
  <c r="AI102" i="1"/>
  <c r="AJ102" i="1"/>
  <c r="AE102" i="1"/>
  <c r="AF102" i="1"/>
  <c r="AL103" i="1"/>
  <c r="AM103" i="1"/>
  <c r="AP97" i="1"/>
  <c r="AQ97" i="1"/>
  <c r="AQ94" i="1"/>
  <c r="AL99" i="1"/>
  <c r="AN83" i="1"/>
  <c r="AO83" i="1"/>
  <c r="AG106" i="1"/>
  <c r="AH106" i="1"/>
  <c r="AI106" i="1"/>
  <c r="AJ106" i="1"/>
  <c r="AE106" i="1"/>
  <c r="AF106" i="1"/>
  <c r="AI95" i="1"/>
  <c r="AJ95" i="1"/>
  <c r="AG95" i="1"/>
  <c r="AH95" i="1"/>
  <c r="AE95" i="1"/>
  <c r="AF95" i="1"/>
  <c r="AN103" i="1"/>
  <c r="AK94" i="1"/>
  <c r="AN99" i="1"/>
  <c r="AP83" i="1"/>
  <c r="AP86" i="1"/>
  <c r="AO86" i="1"/>
  <c r="AQ86" i="1"/>
  <c r="AK86" i="1"/>
  <c r="AM86" i="1"/>
  <c r="AN86" i="1"/>
  <c r="AL86" i="1"/>
  <c r="AL76" i="1"/>
  <c r="AK76" i="1"/>
  <c r="AP76" i="1"/>
  <c r="AM76" i="1"/>
  <c r="AQ76" i="1"/>
  <c r="AN76" i="1"/>
  <c r="AO76" i="1"/>
  <c r="AG98" i="1"/>
  <c r="AH98" i="1"/>
  <c r="AI98" i="1"/>
  <c r="AJ98" i="1"/>
  <c r="AE98" i="1"/>
  <c r="AF98" i="1"/>
  <c r="D92" i="1"/>
  <c r="A104" i="1"/>
  <c r="D127" i="1"/>
  <c r="A139" i="1"/>
  <c r="D123" i="1"/>
  <c r="A135" i="1"/>
  <c r="D107" i="1"/>
  <c r="A119" i="1"/>
  <c r="D121" i="1"/>
  <c r="A133" i="1"/>
  <c r="D118" i="1"/>
  <c r="A130" i="1"/>
  <c r="A113" i="1"/>
  <c r="D101" i="1"/>
  <c r="AP77" i="1"/>
  <c r="AK77" i="1"/>
  <c r="AN77" i="1"/>
  <c r="AO77" i="1"/>
  <c r="AL77" i="1"/>
  <c r="AQ77" i="1"/>
  <c r="AM77" i="1"/>
  <c r="AG89" i="1"/>
  <c r="AH89" i="1"/>
  <c r="AI89" i="1"/>
  <c r="AJ89" i="1"/>
  <c r="AE89" i="1"/>
  <c r="AF89" i="1"/>
  <c r="A117" i="1"/>
  <c r="D105" i="1"/>
  <c r="D108" i="1"/>
  <c r="A120" i="1"/>
  <c r="AI93" i="1"/>
  <c r="AJ93" i="1"/>
  <c r="AG93" i="1"/>
  <c r="AH93" i="1"/>
  <c r="AE93" i="1"/>
  <c r="AF93" i="1"/>
  <c r="AM81" i="1"/>
  <c r="AK81" i="1"/>
  <c r="AQ81" i="1"/>
  <c r="AO81" i="1"/>
  <c r="AP81" i="1"/>
  <c r="AL81" i="1"/>
  <c r="AN81" i="1"/>
  <c r="AM84" i="1"/>
  <c r="AP84" i="1"/>
  <c r="AL84" i="1"/>
  <c r="AK84" i="1"/>
  <c r="AQ84" i="1"/>
  <c r="AN84" i="1"/>
  <c r="AO84" i="1"/>
  <c r="AI96" i="1"/>
  <c r="AJ96" i="1"/>
  <c r="AE96" i="1"/>
  <c r="AF96" i="1"/>
  <c r="AG96" i="1"/>
  <c r="AH96" i="1"/>
  <c r="AO95" i="1"/>
  <c r="AN106" i="1"/>
  <c r="AM115" i="1"/>
  <c r="AP109" i="1"/>
  <c r="AL111" i="1"/>
  <c r="AQ106" i="1"/>
  <c r="AN115" i="1"/>
  <c r="AN95" i="1"/>
  <c r="AQ109" i="1"/>
  <c r="AL95" i="1"/>
  <c r="AO115" i="1"/>
  <c r="AP106" i="1"/>
  <c r="AQ111" i="1"/>
  <c r="AK111" i="1"/>
  <c r="AK95" i="1"/>
  <c r="AO106" i="1"/>
  <c r="AL115" i="1"/>
  <c r="AN109" i="1"/>
  <c r="AM95" i="1"/>
  <c r="AO109" i="1"/>
  <c r="AP115" i="1"/>
  <c r="AL98" i="1"/>
  <c r="AK98" i="1"/>
  <c r="AQ98" i="1"/>
  <c r="AO98" i="1"/>
  <c r="AM98" i="1"/>
  <c r="AP98" i="1"/>
  <c r="AN98" i="1"/>
  <c r="D112" i="1"/>
  <c r="A124" i="1"/>
  <c r="AP95" i="1"/>
  <c r="AQ95" i="1"/>
  <c r="AK109" i="1"/>
  <c r="AL109" i="1"/>
  <c r="AO111" i="1"/>
  <c r="AP111" i="1"/>
  <c r="AQ115" i="1"/>
  <c r="AK106" i="1"/>
  <c r="AM106" i="1"/>
  <c r="AI92" i="1"/>
  <c r="AJ92" i="1"/>
  <c r="AG92" i="1"/>
  <c r="AH92" i="1"/>
  <c r="AE92" i="1"/>
  <c r="AF92" i="1"/>
  <c r="D126" i="1"/>
  <c r="A138" i="1"/>
  <c r="AP88" i="1"/>
  <c r="AO88" i="1"/>
  <c r="AN88" i="1"/>
  <c r="AM88" i="1"/>
  <c r="AK88" i="1"/>
  <c r="AL88" i="1"/>
  <c r="AQ88" i="1"/>
  <c r="AI100" i="1"/>
  <c r="AJ100" i="1"/>
  <c r="AG100" i="1"/>
  <c r="AH100" i="1"/>
  <c r="AE100" i="1"/>
  <c r="AF100" i="1"/>
  <c r="AG110" i="1"/>
  <c r="AH110" i="1"/>
  <c r="AI110" i="1"/>
  <c r="AJ110" i="1"/>
  <c r="AE110" i="1"/>
  <c r="AF110" i="1"/>
  <c r="AG121" i="1"/>
  <c r="AH121" i="1"/>
  <c r="AI121" i="1"/>
  <c r="AJ121" i="1"/>
  <c r="AE121" i="1"/>
  <c r="AF121" i="1"/>
  <c r="AI107" i="1"/>
  <c r="AJ107" i="1"/>
  <c r="AG107" i="1"/>
  <c r="AH107" i="1"/>
  <c r="AE107" i="1"/>
  <c r="AF107" i="1"/>
  <c r="AM111" i="1"/>
  <c r="AN111" i="1"/>
  <c r="D104" i="1"/>
  <c r="A116" i="1"/>
  <c r="AG118" i="1"/>
  <c r="AH118" i="1"/>
  <c r="AI118" i="1"/>
  <c r="AJ118" i="1"/>
  <c r="AE118" i="1"/>
  <c r="AF118" i="1"/>
  <c r="AI123" i="1"/>
  <c r="AJ123" i="1"/>
  <c r="AG123" i="1"/>
  <c r="AH123" i="1"/>
  <c r="AE123" i="1"/>
  <c r="AF123" i="1"/>
  <c r="AI127" i="1"/>
  <c r="AJ127" i="1"/>
  <c r="AG127" i="1"/>
  <c r="AH127" i="1"/>
  <c r="AE127" i="1"/>
  <c r="AF127" i="1"/>
  <c r="AM109" i="1"/>
  <c r="AK115" i="1"/>
  <c r="AL106" i="1"/>
  <c r="AN102" i="1"/>
  <c r="AM102" i="1"/>
  <c r="AL102" i="1"/>
  <c r="AK102" i="1"/>
  <c r="AQ102" i="1"/>
  <c r="AP102" i="1"/>
  <c r="AO102" i="1"/>
  <c r="AN80" i="1"/>
  <c r="AM80" i="1"/>
  <c r="AL80" i="1"/>
  <c r="AP80" i="1"/>
  <c r="AK80" i="1"/>
  <c r="AQ80" i="1"/>
  <c r="AO80" i="1"/>
  <c r="AG114" i="1"/>
  <c r="AH114" i="1"/>
  <c r="AI114" i="1"/>
  <c r="AJ114" i="1"/>
  <c r="AE114" i="1"/>
  <c r="AF114" i="1"/>
  <c r="D122" i="1"/>
  <c r="A134" i="1"/>
  <c r="D135" i="1"/>
  <c r="A147" i="1"/>
  <c r="D139" i="1"/>
  <c r="A151" i="1"/>
  <c r="D119" i="1"/>
  <c r="A131" i="1"/>
  <c r="D130" i="1"/>
  <c r="A142" i="1"/>
  <c r="D133" i="1"/>
  <c r="A145" i="1"/>
  <c r="AM89" i="1"/>
  <c r="AO89" i="1"/>
  <c r="AK89" i="1"/>
  <c r="AL89" i="1"/>
  <c r="AP89" i="1"/>
  <c r="AN89" i="1"/>
  <c r="AQ89" i="1"/>
  <c r="AG101" i="1"/>
  <c r="AH101" i="1"/>
  <c r="AI101" i="1"/>
  <c r="AJ101" i="1"/>
  <c r="AE101" i="1"/>
  <c r="AF101" i="1"/>
  <c r="A125" i="1"/>
  <c r="D113" i="1"/>
  <c r="AG108" i="1"/>
  <c r="AH108" i="1"/>
  <c r="AE108" i="1"/>
  <c r="AF108" i="1"/>
  <c r="AI108" i="1"/>
  <c r="AJ108" i="1"/>
  <c r="D120" i="1"/>
  <c r="A132" i="1"/>
  <c r="AP93" i="1"/>
  <c r="AM93" i="1"/>
  <c r="AK93" i="1"/>
  <c r="AO93" i="1"/>
  <c r="AQ93" i="1"/>
  <c r="AN93" i="1"/>
  <c r="AL93" i="1"/>
  <c r="AG105" i="1"/>
  <c r="AH105" i="1"/>
  <c r="AI105" i="1"/>
  <c r="AJ105" i="1"/>
  <c r="AE105" i="1"/>
  <c r="AF105" i="1"/>
  <c r="AL96" i="1"/>
  <c r="AQ96" i="1"/>
  <c r="AK96" i="1"/>
  <c r="AO96" i="1"/>
  <c r="AN96" i="1"/>
  <c r="AP96" i="1"/>
  <c r="AM96" i="1"/>
  <c r="A129" i="1"/>
  <c r="D117" i="1"/>
  <c r="AL127" i="1"/>
  <c r="AN123" i="1"/>
  <c r="AK127" i="1"/>
  <c r="AN107" i="1"/>
  <c r="AL123" i="1"/>
  <c r="AK118" i="1"/>
  <c r="AP121" i="1"/>
  <c r="AO121" i="1"/>
  <c r="AM123" i="1"/>
  <c r="AQ127" i="1"/>
  <c r="AQ123" i="1"/>
  <c r="AQ118" i="1"/>
  <c r="AL107" i="1"/>
  <c r="AN121" i="1"/>
  <c r="AM107" i="1"/>
  <c r="AN100" i="1"/>
  <c r="AM100" i="1"/>
  <c r="AQ100" i="1"/>
  <c r="AP100" i="1"/>
  <c r="AK100" i="1"/>
  <c r="AL100" i="1"/>
  <c r="AO100" i="1"/>
  <c r="AI135" i="1"/>
  <c r="AJ135" i="1"/>
  <c r="AG135" i="1"/>
  <c r="AH135" i="1"/>
  <c r="AE135" i="1"/>
  <c r="AF135" i="1"/>
  <c r="AQ121" i="1"/>
  <c r="D116" i="1"/>
  <c r="A128" i="1"/>
  <c r="D138" i="1"/>
  <c r="A150" i="1"/>
  <c r="AI104" i="1"/>
  <c r="AJ104" i="1"/>
  <c r="AG104" i="1"/>
  <c r="AH104" i="1"/>
  <c r="AE104" i="1"/>
  <c r="AF104" i="1"/>
  <c r="AG126" i="1"/>
  <c r="AH126" i="1"/>
  <c r="AI126" i="1"/>
  <c r="AJ126" i="1"/>
  <c r="AE126" i="1"/>
  <c r="AF126" i="1"/>
  <c r="D124" i="1"/>
  <c r="A136" i="1"/>
  <c r="AG122" i="1"/>
  <c r="AH122" i="1"/>
  <c r="AI122" i="1"/>
  <c r="AJ122" i="1"/>
  <c r="AE122" i="1"/>
  <c r="AF122" i="1"/>
  <c r="AQ92" i="1"/>
  <c r="AP92" i="1"/>
  <c r="AO92" i="1"/>
  <c r="AM92" i="1"/>
  <c r="AN92" i="1"/>
  <c r="AL92" i="1"/>
  <c r="AK92" i="1"/>
  <c r="AG130" i="1"/>
  <c r="AH130" i="1"/>
  <c r="AI130" i="1"/>
  <c r="AJ130" i="1"/>
  <c r="AE130" i="1"/>
  <c r="AF130" i="1"/>
  <c r="AI119" i="1"/>
  <c r="AJ119" i="1"/>
  <c r="AG119" i="1"/>
  <c r="AH119" i="1"/>
  <c r="AE119" i="1"/>
  <c r="AF119" i="1"/>
  <c r="AO107" i="1"/>
  <c r="AP107" i="1"/>
  <c r="AL118" i="1"/>
  <c r="AM118" i="1"/>
  <c r="AM127" i="1"/>
  <c r="AN127" i="1"/>
  <c r="AO123" i="1"/>
  <c r="AP123" i="1"/>
  <c r="AQ107" i="1"/>
  <c r="AK121" i="1"/>
  <c r="AL121" i="1"/>
  <c r="AN118" i="1"/>
  <c r="AO118" i="1"/>
  <c r="AO127" i="1"/>
  <c r="AP127" i="1"/>
  <c r="AG133" i="1"/>
  <c r="AH133" i="1"/>
  <c r="AI133" i="1"/>
  <c r="AJ133" i="1"/>
  <c r="AE133" i="1"/>
  <c r="AF133" i="1"/>
  <c r="AI139" i="1"/>
  <c r="AJ139" i="1"/>
  <c r="AG139" i="1"/>
  <c r="AH139" i="1"/>
  <c r="AE139" i="1"/>
  <c r="AF139" i="1"/>
  <c r="AK107" i="1"/>
  <c r="AM121" i="1"/>
  <c r="AP118" i="1"/>
  <c r="AK123" i="1"/>
  <c r="D134" i="1"/>
  <c r="A146" i="1"/>
  <c r="AM114" i="1"/>
  <c r="AL114" i="1"/>
  <c r="AK114" i="1"/>
  <c r="AQ114" i="1"/>
  <c r="AO114" i="1"/>
  <c r="AP114" i="1"/>
  <c r="AN114" i="1"/>
  <c r="AK110" i="1"/>
  <c r="AO110" i="1"/>
  <c r="AL110" i="1"/>
  <c r="AP110" i="1"/>
  <c r="AQ110" i="1"/>
  <c r="AM110" i="1"/>
  <c r="AN110" i="1"/>
  <c r="AI112" i="1"/>
  <c r="AJ112" i="1"/>
  <c r="AE112" i="1"/>
  <c r="AF112" i="1"/>
  <c r="AG112" i="1"/>
  <c r="AH112" i="1"/>
  <c r="D147" i="1"/>
  <c r="A159" i="1"/>
  <c r="D131" i="1"/>
  <c r="A143" i="1"/>
  <c r="D151" i="1"/>
  <c r="A163" i="1"/>
  <c r="D145" i="1"/>
  <c r="A157" i="1"/>
  <c r="D142" i="1"/>
  <c r="A154" i="1"/>
  <c r="AE113" i="1"/>
  <c r="AF113" i="1"/>
  <c r="AI113" i="1"/>
  <c r="AJ113" i="1"/>
  <c r="AG113" i="1"/>
  <c r="AH113" i="1"/>
  <c r="AK101" i="1"/>
  <c r="AL101" i="1"/>
  <c r="AP101" i="1"/>
  <c r="AQ101" i="1"/>
  <c r="AM101" i="1"/>
  <c r="AO101" i="1"/>
  <c r="AN101" i="1"/>
  <c r="D125" i="1"/>
  <c r="A137" i="1"/>
  <c r="AE117" i="1"/>
  <c r="AF117" i="1"/>
  <c r="AI117" i="1"/>
  <c r="AJ117" i="1"/>
  <c r="AG117" i="1"/>
  <c r="AH117" i="1"/>
  <c r="AI120" i="1"/>
  <c r="AJ120" i="1"/>
  <c r="AG120" i="1"/>
  <c r="AH120" i="1"/>
  <c r="AE120" i="1"/>
  <c r="AF120" i="1"/>
  <c r="A141" i="1"/>
  <c r="D129" i="1"/>
  <c r="AO105" i="1"/>
  <c r="AP105" i="1"/>
  <c r="AM105" i="1"/>
  <c r="AL105" i="1"/>
  <c r="AK105" i="1"/>
  <c r="AQ105" i="1"/>
  <c r="AN105" i="1"/>
  <c r="A144" i="1"/>
  <c r="D132" i="1"/>
  <c r="AN108" i="1"/>
  <c r="AQ108" i="1"/>
  <c r="AM108" i="1"/>
  <c r="AO108" i="1"/>
  <c r="AK108" i="1"/>
  <c r="AP108" i="1"/>
  <c r="AL108" i="1"/>
  <c r="AO139" i="1"/>
  <c r="AQ133" i="1"/>
  <c r="AP119" i="1"/>
  <c r="AP139" i="1"/>
  <c r="AP130" i="1"/>
  <c r="AQ119" i="1"/>
  <c r="AN135" i="1"/>
  <c r="AN139" i="1"/>
  <c r="AL133" i="1"/>
  <c r="AK130" i="1"/>
  <c r="AK135" i="1"/>
  <c r="AQ139" i="1"/>
  <c r="AP133" i="1"/>
  <c r="AN119" i="1"/>
  <c r="AO130" i="1"/>
  <c r="AQ135" i="1"/>
  <c r="AM139" i="1"/>
  <c r="AO119" i="1"/>
  <c r="AL135" i="1"/>
  <c r="AQ130" i="1"/>
  <c r="AL139" i="1"/>
  <c r="AI151" i="1"/>
  <c r="AJ151" i="1"/>
  <c r="AG151" i="1"/>
  <c r="AH151" i="1"/>
  <c r="AE151" i="1"/>
  <c r="AF151" i="1"/>
  <c r="AG134" i="1"/>
  <c r="AH134" i="1"/>
  <c r="AI134" i="1"/>
  <c r="AJ134" i="1"/>
  <c r="AE134" i="1"/>
  <c r="AF134" i="1"/>
  <c r="AG138" i="1"/>
  <c r="AH138" i="1"/>
  <c r="AI138" i="1"/>
  <c r="AJ138" i="1"/>
  <c r="AE138" i="1"/>
  <c r="AF138" i="1"/>
  <c r="AM135" i="1"/>
  <c r="AK133" i="1"/>
  <c r="AP104" i="1"/>
  <c r="AO104" i="1"/>
  <c r="AM104" i="1"/>
  <c r="AN104" i="1"/>
  <c r="AK104" i="1"/>
  <c r="AL104" i="1"/>
  <c r="AQ104" i="1"/>
  <c r="D128" i="1"/>
  <c r="A140" i="1"/>
  <c r="AI131" i="1"/>
  <c r="AJ131" i="1"/>
  <c r="AG131" i="1"/>
  <c r="AH131" i="1"/>
  <c r="AE131" i="1"/>
  <c r="AF131" i="1"/>
  <c r="AM130" i="1"/>
  <c r="AM133" i="1"/>
  <c r="AN133" i="1"/>
  <c r="AO122" i="1"/>
  <c r="AN122" i="1"/>
  <c r="AM122" i="1"/>
  <c r="AL122" i="1"/>
  <c r="AP122" i="1"/>
  <c r="AQ122" i="1"/>
  <c r="AK122" i="1"/>
  <c r="AI116" i="1"/>
  <c r="AJ116" i="1"/>
  <c r="AG116" i="1"/>
  <c r="AH116" i="1"/>
  <c r="AE116" i="1"/>
  <c r="AF116" i="1"/>
  <c r="AG145" i="1"/>
  <c r="AH145" i="1"/>
  <c r="AE145" i="1"/>
  <c r="AF145" i="1"/>
  <c r="AI145" i="1"/>
  <c r="AJ145" i="1"/>
  <c r="AI147" i="1"/>
  <c r="AJ147" i="1"/>
  <c r="AG147" i="1"/>
  <c r="AH147" i="1"/>
  <c r="AE147" i="1"/>
  <c r="AF147" i="1"/>
  <c r="AK112" i="1"/>
  <c r="AQ112" i="1"/>
  <c r="AP112" i="1"/>
  <c r="AO112" i="1"/>
  <c r="AM112" i="1"/>
  <c r="AN112" i="1"/>
  <c r="AL112" i="1"/>
  <c r="AI124" i="1"/>
  <c r="AJ124" i="1"/>
  <c r="AG124" i="1"/>
  <c r="AH124" i="1"/>
  <c r="AE124" i="1"/>
  <c r="AF124" i="1"/>
  <c r="AG142" i="1"/>
  <c r="AH142" i="1"/>
  <c r="AI142" i="1"/>
  <c r="AJ142" i="1"/>
  <c r="AE142" i="1"/>
  <c r="AF142" i="1"/>
  <c r="AK119" i="1"/>
  <c r="AL119" i="1"/>
  <c r="AO135" i="1"/>
  <c r="AP135" i="1"/>
  <c r="AL130" i="1"/>
  <c r="AK139" i="1"/>
  <c r="AM119" i="1"/>
  <c r="AN130" i="1"/>
  <c r="AO133" i="1"/>
  <c r="D146" i="1"/>
  <c r="A158" i="1"/>
  <c r="D136" i="1"/>
  <c r="A148" i="1"/>
  <c r="AQ126" i="1"/>
  <c r="AP126" i="1"/>
  <c r="AO126" i="1"/>
  <c r="AN126" i="1"/>
  <c r="AL126" i="1"/>
  <c r="AM126" i="1"/>
  <c r="AK126" i="1"/>
  <c r="D150" i="1"/>
  <c r="A162" i="1"/>
  <c r="D163" i="1"/>
  <c r="A175" i="1"/>
  <c r="D143" i="1"/>
  <c r="A155" i="1"/>
  <c r="D159" i="1"/>
  <c r="A171" i="1"/>
  <c r="D154" i="1"/>
  <c r="A166" i="1"/>
  <c r="D157" i="1"/>
  <c r="A169" i="1"/>
  <c r="AE125" i="1"/>
  <c r="AF125" i="1"/>
  <c r="AI125" i="1"/>
  <c r="AJ125" i="1"/>
  <c r="AG125" i="1"/>
  <c r="AH125" i="1"/>
  <c r="AL113" i="1"/>
  <c r="AM113" i="1"/>
  <c r="AO113" i="1"/>
  <c r="AQ113" i="1"/>
  <c r="AP113" i="1"/>
  <c r="AN113" i="1"/>
  <c r="AK113" i="1"/>
  <c r="A149" i="1"/>
  <c r="D137" i="1"/>
  <c r="D144" i="1"/>
  <c r="A156" i="1"/>
  <c r="AG129" i="1"/>
  <c r="AH129" i="1"/>
  <c r="AE129" i="1"/>
  <c r="AF129" i="1"/>
  <c r="AI129" i="1"/>
  <c r="AJ129" i="1"/>
  <c r="D141" i="1"/>
  <c r="A153" i="1"/>
  <c r="AL117" i="1"/>
  <c r="AP117" i="1"/>
  <c r="AK117" i="1"/>
  <c r="AO117" i="1"/>
  <c r="AM117" i="1"/>
  <c r="AN117" i="1"/>
  <c r="AQ117" i="1"/>
  <c r="AE132" i="1"/>
  <c r="AF132" i="1"/>
  <c r="AG132" i="1"/>
  <c r="AH132" i="1"/>
  <c r="AI132" i="1"/>
  <c r="AJ132" i="1"/>
  <c r="AN120" i="1"/>
  <c r="AL120" i="1"/>
  <c r="AO120" i="1"/>
  <c r="AP120" i="1"/>
  <c r="AK120" i="1"/>
  <c r="AM120" i="1"/>
  <c r="AQ120" i="1"/>
  <c r="AP131" i="1"/>
  <c r="AM142" i="1"/>
  <c r="AM147" i="1"/>
  <c r="AQ131" i="1"/>
  <c r="AL145" i="1"/>
  <c r="AQ142" i="1"/>
  <c r="AN147" i="1"/>
  <c r="AK145" i="1"/>
  <c r="AQ145" i="1"/>
  <c r="AQ147" i="1"/>
  <c r="AN151" i="1"/>
  <c r="AO151" i="1"/>
  <c r="AP145" i="1"/>
  <c r="AN131" i="1"/>
  <c r="AP151" i="1"/>
  <c r="AL142" i="1"/>
  <c r="AO131" i="1"/>
  <c r="AK142" i="1"/>
  <c r="AL147" i="1"/>
  <c r="AG154" i="1"/>
  <c r="AH154" i="1"/>
  <c r="AI154" i="1"/>
  <c r="AJ154" i="1"/>
  <c r="AE154" i="1"/>
  <c r="AF154" i="1"/>
  <c r="AO147" i="1"/>
  <c r="AO142" i="1"/>
  <c r="AG150" i="1"/>
  <c r="AH150" i="1"/>
  <c r="AI150" i="1"/>
  <c r="AJ150" i="1"/>
  <c r="AE150" i="1"/>
  <c r="AF150" i="1"/>
  <c r="D148" i="1"/>
  <c r="A160" i="1"/>
  <c r="AM134" i="1"/>
  <c r="AL134" i="1"/>
  <c r="AP134" i="1"/>
  <c r="AO134" i="1"/>
  <c r="AK134" i="1"/>
  <c r="AQ134" i="1"/>
  <c r="AN134" i="1"/>
  <c r="AI143" i="1"/>
  <c r="AJ143" i="1"/>
  <c r="AG143" i="1"/>
  <c r="AH143" i="1"/>
  <c r="AE143" i="1"/>
  <c r="AF143" i="1"/>
  <c r="AI163" i="1"/>
  <c r="AJ163" i="1"/>
  <c r="AG163" i="1"/>
  <c r="AH163" i="1"/>
  <c r="AE163" i="1"/>
  <c r="AF163" i="1"/>
  <c r="D162" i="1"/>
  <c r="A174" i="1"/>
  <c r="AG146" i="1"/>
  <c r="AH146" i="1"/>
  <c r="AI146" i="1"/>
  <c r="AJ146" i="1"/>
  <c r="AE146" i="1"/>
  <c r="AF146" i="1"/>
  <c r="D140" i="1"/>
  <c r="A152" i="1"/>
  <c r="AP147" i="1"/>
  <c r="AQ151" i="1"/>
  <c r="AN142" i="1"/>
  <c r="AQ124" i="1"/>
  <c r="AP124" i="1"/>
  <c r="AO124" i="1"/>
  <c r="AL124" i="1"/>
  <c r="AN124" i="1"/>
  <c r="AM124" i="1"/>
  <c r="AK124" i="1"/>
  <c r="AM116" i="1"/>
  <c r="AL116" i="1"/>
  <c r="AK116" i="1"/>
  <c r="AQ116" i="1"/>
  <c r="AP116" i="1"/>
  <c r="AN116" i="1"/>
  <c r="AO116" i="1"/>
  <c r="AI128" i="1"/>
  <c r="AJ128" i="1"/>
  <c r="AE128" i="1"/>
  <c r="AF128" i="1"/>
  <c r="AG128" i="1"/>
  <c r="AH128" i="1"/>
  <c r="AG157" i="1"/>
  <c r="AH157" i="1"/>
  <c r="AE157" i="1"/>
  <c r="AF157" i="1"/>
  <c r="AI157" i="1"/>
  <c r="AJ157" i="1"/>
  <c r="AI159" i="1"/>
  <c r="AJ159" i="1"/>
  <c r="AG159" i="1"/>
  <c r="AH159" i="1"/>
  <c r="AE159" i="1"/>
  <c r="AF159" i="1"/>
  <c r="AK151" i="1"/>
  <c r="AL151" i="1"/>
  <c r="AM145" i="1"/>
  <c r="AN145" i="1"/>
  <c r="AP142" i="1"/>
  <c r="AK131" i="1"/>
  <c r="AL131" i="1"/>
  <c r="AI136" i="1"/>
  <c r="AJ136" i="1"/>
  <c r="AG136" i="1"/>
  <c r="AH136" i="1"/>
  <c r="AE136" i="1"/>
  <c r="AF136" i="1"/>
  <c r="AK147" i="1"/>
  <c r="AM151" i="1"/>
  <c r="AO145" i="1"/>
  <c r="AM131" i="1"/>
  <c r="D158" i="1"/>
  <c r="A170" i="1"/>
  <c r="AO138" i="1"/>
  <c r="AN138" i="1"/>
  <c r="AQ138" i="1"/>
  <c r="AL138" i="1"/>
  <c r="AP138" i="1"/>
  <c r="AM138" i="1"/>
  <c r="AK138" i="1"/>
  <c r="D171" i="1"/>
  <c r="A183" i="1"/>
  <c r="D155" i="1"/>
  <c r="A167" i="1"/>
  <c r="D175" i="1"/>
  <c r="A187" i="1"/>
  <c r="D169" i="1"/>
  <c r="A181" i="1"/>
  <c r="D166" i="1"/>
  <c r="A178" i="1"/>
  <c r="AM125" i="1"/>
  <c r="AO125" i="1"/>
  <c r="AP125" i="1"/>
  <c r="AK125" i="1"/>
  <c r="AN125" i="1"/>
  <c r="AQ125" i="1"/>
  <c r="AL125" i="1"/>
  <c r="AI137" i="1"/>
  <c r="AJ137" i="1"/>
  <c r="AE137" i="1"/>
  <c r="AF137" i="1"/>
  <c r="AG137" i="1"/>
  <c r="AH137" i="1"/>
  <c r="D149" i="1"/>
  <c r="A161" i="1"/>
  <c r="AN132" i="1"/>
  <c r="AK132" i="1"/>
  <c r="AO132" i="1"/>
  <c r="AP132" i="1"/>
  <c r="AL132" i="1"/>
  <c r="AQ132" i="1"/>
  <c r="AM132" i="1"/>
  <c r="A165" i="1"/>
  <c r="D153" i="1"/>
  <c r="AP129" i="1"/>
  <c r="AL129" i="1"/>
  <c r="AN129" i="1"/>
  <c r="AM129" i="1"/>
  <c r="AO129" i="1"/>
  <c r="AK129" i="1"/>
  <c r="AQ129" i="1"/>
  <c r="AE141" i="1"/>
  <c r="AF141" i="1"/>
  <c r="AI141" i="1"/>
  <c r="AJ141" i="1"/>
  <c r="AG141" i="1"/>
  <c r="AH141" i="1"/>
  <c r="A168" i="1"/>
  <c r="D156" i="1"/>
  <c r="AG144" i="1"/>
  <c r="AH144" i="1"/>
  <c r="AE144" i="1"/>
  <c r="AF144" i="1"/>
  <c r="AI144" i="1"/>
  <c r="AJ144" i="1"/>
  <c r="AQ159" i="1"/>
  <c r="AK143" i="1"/>
  <c r="AM157" i="1"/>
  <c r="AN157" i="1"/>
  <c r="AP163" i="1"/>
  <c r="AL143" i="1"/>
  <c r="AK154" i="1"/>
  <c r="AL154" i="1"/>
  <c r="AM154" i="1"/>
  <c r="AQ163" i="1"/>
  <c r="AP159" i="1"/>
  <c r="AL157" i="1"/>
  <c r="AL163" i="1"/>
  <c r="AQ143" i="1"/>
  <c r="AO154" i="1"/>
  <c r="AG166" i="1"/>
  <c r="AH166" i="1"/>
  <c r="AI166" i="1"/>
  <c r="AJ166" i="1"/>
  <c r="AE166" i="1"/>
  <c r="AF166" i="1"/>
  <c r="AI171" i="1"/>
  <c r="AJ171" i="1"/>
  <c r="AG171" i="1"/>
  <c r="AH171" i="1"/>
  <c r="AE171" i="1"/>
  <c r="AF171" i="1"/>
  <c r="AI148" i="1"/>
  <c r="AJ148" i="1"/>
  <c r="AG148" i="1"/>
  <c r="AH148" i="1"/>
  <c r="AE148" i="1"/>
  <c r="AF148" i="1"/>
  <c r="AK163" i="1"/>
  <c r="AM143" i="1"/>
  <c r="AN143" i="1"/>
  <c r="AL159" i="1"/>
  <c r="AM136" i="1"/>
  <c r="AL136" i="1"/>
  <c r="AK136" i="1"/>
  <c r="AP136" i="1"/>
  <c r="AN136" i="1"/>
  <c r="AQ136" i="1"/>
  <c r="AO136" i="1"/>
  <c r="AK128" i="1"/>
  <c r="AM128" i="1"/>
  <c r="AN128" i="1"/>
  <c r="AL128" i="1"/>
  <c r="AP128" i="1"/>
  <c r="AQ128" i="1"/>
  <c r="AO128" i="1"/>
  <c r="AQ146" i="1"/>
  <c r="AP146" i="1"/>
  <c r="AO146" i="1"/>
  <c r="AN146" i="1"/>
  <c r="AM146" i="1"/>
  <c r="AL146" i="1"/>
  <c r="AK146" i="1"/>
  <c r="AM163" i="1"/>
  <c r="AP154" i="1"/>
  <c r="AQ157" i="1"/>
  <c r="AI140" i="1"/>
  <c r="AJ140" i="1"/>
  <c r="AG140" i="1"/>
  <c r="AH140" i="1"/>
  <c r="AE140" i="1"/>
  <c r="AF140" i="1"/>
  <c r="D174" i="1"/>
  <c r="A186" i="1"/>
  <c r="D170" i="1"/>
  <c r="A182" i="1"/>
  <c r="AK159" i="1"/>
  <c r="AN154" i="1"/>
  <c r="AO157" i="1"/>
  <c r="AP157" i="1"/>
  <c r="AG158" i="1"/>
  <c r="AH158" i="1"/>
  <c r="AI158" i="1"/>
  <c r="AJ158" i="1"/>
  <c r="AE158" i="1"/>
  <c r="AF158" i="1"/>
  <c r="D152" i="1"/>
  <c r="A164" i="1"/>
  <c r="AG169" i="1"/>
  <c r="AH169" i="1"/>
  <c r="AI169" i="1"/>
  <c r="AJ169" i="1"/>
  <c r="AE169" i="1"/>
  <c r="AF169" i="1"/>
  <c r="AI175" i="1"/>
  <c r="AJ175" i="1"/>
  <c r="AG175" i="1"/>
  <c r="AH175" i="1"/>
  <c r="AE175" i="1"/>
  <c r="AF175" i="1"/>
  <c r="AI155" i="1"/>
  <c r="AJ155" i="1"/>
  <c r="AG155" i="1"/>
  <c r="AH155" i="1"/>
  <c r="AE155" i="1"/>
  <c r="AF155" i="1"/>
  <c r="AN163" i="1"/>
  <c r="AO143" i="1"/>
  <c r="AP143" i="1"/>
  <c r="AM159" i="1"/>
  <c r="AN159" i="1"/>
  <c r="AQ154" i="1"/>
  <c r="AO163" i="1"/>
  <c r="AO159" i="1"/>
  <c r="AK157" i="1"/>
  <c r="AG162" i="1"/>
  <c r="AH162" i="1"/>
  <c r="AI162" i="1"/>
  <c r="AJ162" i="1"/>
  <c r="AE162" i="1"/>
  <c r="AF162" i="1"/>
  <c r="D160" i="1"/>
  <c r="A172" i="1"/>
  <c r="AK150" i="1"/>
  <c r="AQ150" i="1"/>
  <c r="AP150" i="1"/>
  <c r="AO150" i="1"/>
  <c r="AL150" i="1"/>
  <c r="AM150" i="1"/>
  <c r="AN150" i="1"/>
  <c r="D187" i="1"/>
  <c r="A199" i="1"/>
  <c r="D167" i="1"/>
  <c r="A179" i="1"/>
  <c r="D183" i="1"/>
  <c r="A195" i="1"/>
  <c r="D178" i="1"/>
  <c r="A190" i="1"/>
  <c r="D181" i="1"/>
  <c r="A193" i="1"/>
  <c r="D161" i="1"/>
  <c r="A173" i="1"/>
  <c r="AI149" i="1"/>
  <c r="AJ149" i="1"/>
  <c r="AG149" i="1"/>
  <c r="AH149" i="1"/>
  <c r="AE149" i="1"/>
  <c r="AF149" i="1"/>
  <c r="AL137" i="1"/>
  <c r="AO137" i="1"/>
  <c r="AN137" i="1"/>
  <c r="AQ137" i="1"/>
  <c r="AP137" i="1"/>
  <c r="AK137" i="1"/>
  <c r="AM137" i="1"/>
  <c r="D168" i="1"/>
  <c r="A180" i="1"/>
  <c r="A177" i="1"/>
  <c r="D165" i="1"/>
  <c r="AO141" i="1"/>
  <c r="AQ141" i="1"/>
  <c r="AN141" i="1"/>
  <c r="AM141" i="1"/>
  <c r="AP141" i="1"/>
  <c r="AL141" i="1"/>
  <c r="AK141" i="1"/>
  <c r="AP144" i="1"/>
  <c r="AK144" i="1"/>
  <c r="AM144" i="1"/>
  <c r="AO144" i="1"/>
  <c r="AQ144" i="1"/>
  <c r="AL144" i="1"/>
  <c r="AN144" i="1"/>
  <c r="AG156" i="1"/>
  <c r="AH156" i="1"/>
  <c r="AE156" i="1"/>
  <c r="AF156" i="1"/>
  <c r="AI156" i="1"/>
  <c r="AJ156" i="1"/>
  <c r="AG153" i="1"/>
  <c r="AH153" i="1"/>
  <c r="AI153" i="1"/>
  <c r="AJ153" i="1"/>
  <c r="AE153" i="1"/>
  <c r="AF153" i="1"/>
  <c r="AP171" i="1"/>
  <c r="AP155" i="1"/>
  <c r="AQ175" i="1"/>
  <c r="AL169" i="1"/>
  <c r="AN169" i="1"/>
  <c r="AN171" i="1"/>
  <c r="AQ169" i="1"/>
  <c r="AK166" i="1"/>
  <c r="AO155" i="1"/>
  <c r="AK169" i="1"/>
  <c r="AN166" i="1"/>
  <c r="AM169" i="1"/>
  <c r="AO166" i="1"/>
  <c r="AO171" i="1"/>
  <c r="AN155" i="1"/>
  <c r="AP175" i="1"/>
  <c r="AQ171" i="1"/>
  <c r="AM166" i="1"/>
  <c r="AG178" i="1"/>
  <c r="AH178" i="1"/>
  <c r="AI178" i="1"/>
  <c r="AJ178" i="1"/>
  <c r="AE178" i="1"/>
  <c r="AF178" i="1"/>
  <c r="D182" i="1"/>
  <c r="A194" i="1"/>
  <c r="AQ155" i="1"/>
  <c r="AL175" i="1"/>
  <c r="AQ166" i="1"/>
  <c r="AG181" i="1"/>
  <c r="AH181" i="1"/>
  <c r="AI181" i="1"/>
  <c r="AJ181" i="1"/>
  <c r="AE181" i="1"/>
  <c r="AF181" i="1"/>
  <c r="AI183" i="1"/>
  <c r="AJ183" i="1"/>
  <c r="AG183" i="1"/>
  <c r="AH183" i="1"/>
  <c r="AE183" i="1"/>
  <c r="AF183" i="1"/>
  <c r="AK155" i="1"/>
  <c r="AL155" i="1"/>
  <c r="AO175" i="1"/>
  <c r="AN175" i="1"/>
  <c r="AO169" i="1"/>
  <c r="AP169" i="1"/>
  <c r="AK171" i="1"/>
  <c r="AL171" i="1"/>
  <c r="D172" i="1"/>
  <c r="A184" i="1"/>
  <c r="AQ162" i="1"/>
  <c r="AP162" i="1"/>
  <c r="AK162" i="1"/>
  <c r="AL162" i="1"/>
  <c r="AN162" i="1"/>
  <c r="AO162" i="1"/>
  <c r="AM162" i="1"/>
  <c r="D164" i="1"/>
  <c r="A176" i="1"/>
  <c r="AO158" i="1"/>
  <c r="AN158" i="1"/>
  <c r="AM158" i="1"/>
  <c r="AP158" i="1"/>
  <c r="AQ158" i="1"/>
  <c r="AL158" i="1"/>
  <c r="AK158" i="1"/>
  <c r="AO140" i="1"/>
  <c r="AN140" i="1"/>
  <c r="AM140" i="1"/>
  <c r="AL140" i="1"/>
  <c r="AK140" i="1"/>
  <c r="AQ140" i="1"/>
  <c r="AP140" i="1"/>
  <c r="AK148" i="1"/>
  <c r="AP148" i="1"/>
  <c r="AO148" i="1"/>
  <c r="AM148" i="1"/>
  <c r="AQ148" i="1"/>
  <c r="AN148" i="1"/>
  <c r="AL148" i="1"/>
  <c r="AG174" i="1"/>
  <c r="AH174" i="1"/>
  <c r="AI174" i="1"/>
  <c r="AJ174" i="1"/>
  <c r="AE174" i="1"/>
  <c r="AF174" i="1"/>
  <c r="AI187" i="1"/>
  <c r="AJ187" i="1"/>
  <c r="AG187" i="1"/>
  <c r="AH187" i="1"/>
  <c r="AE187" i="1"/>
  <c r="AF187" i="1"/>
  <c r="AK175" i="1"/>
  <c r="AP166" i="1"/>
  <c r="AG170" i="1"/>
  <c r="AH170" i="1"/>
  <c r="AI170" i="1"/>
  <c r="AJ170" i="1"/>
  <c r="AE170" i="1"/>
  <c r="AF170" i="1"/>
  <c r="AI167" i="1"/>
  <c r="AJ167" i="1"/>
  <c r="AG167" i="1"/>
  <c r="AH167" i="1"/>
  <c r="AE167" i="1"/>
  <c r="AF167" i="1"/>
  <c r="AM155" i="1"/>
  <c r="AM175" i="1"/>
  <c r="AL166" i="1"/>
  <c r="AM171" i="1"/>
  <c r="AI160" i="1"/>
  <c r="AJ160" i="1"/>
  <c r="AE160" i="1"/>
  <c r="AF160" i="1"/>
  <c r="AG160" i="1"/>
  <c r="AH160" i="1"/>
  <c r="AI152" i="1"/>
  <c r="AJ152" i="1"/>
  <c r="AG152" i="1"/>
  <c r="AH152" i="1"/>
  <c r="AE152" i="1"/>
  <c r="AF152" i="1"/>
  <c r="D186" i="1"/>
  <c r="A198" i="1"/>
  <c r="D195" i="1"/>
  <c r="A207" i="1"/>
  <c r="D179" i="1"/>
  <c r="A191" i="1"/>
  <c r="D199" i="1"/>
  <c r="A211" i="1"/>
  <c r="D193" i="1"/>
  <c r="A205" i="1"/>
  <c r="D190" i="1"/>
  <c r="A202" i="1"/>
  <c r="AK149" i="1"/>
  <c r="AN149" i="1"/>
  <c r="AO149" i="1"/>
  <c r="AQ149" i="1"/>
  <c r="AL149" i="1"/>
  <c r="AM149" i="1"/>
  <c r="AP149" i="1"/>
  <c r="D173" i="1"/>
  <c r="A185" i="1"/>
  <c r="AE161" i="1"/>
  <c r="AF161" i="1"/>
  <c r="AI161" i="1"/>
  <c r="AJ161" i="1"/>
  <c r="AG161" i="1"/>
  <c r="AH161" i="1"/>
  <c r="AL153" i="1"/>
  <c r="AN153" i="1"/>
  <c r="AQ153" i="1"/>
  <c r="AM153" i="1"/>
  <c r="AP153" i="1"/>
  <c r="AK153" i="1"/>
  <c r="AO153" i="1"/>
  <c r="D177" i="1"/>
  <c r="A189" i="1"/>
  <c r="A192" i="1"/>
  <c r="D180" i="1"/>
  <c r="AE168" i="1"/>
  <c r="AF168" i="1"/>
  <c r="AI168" i="1"/>
  <c r="AJ168" i="1"/>
  <c r="AG168" i="1"/>
  <c r="AH168" i="1"/>
  <c r="AK156" i="1"/>
  <c r="AO156" i="1"/>
  <c r="AP156" i="1"/>
  <c r="AQ156" i="1"/>
  <c r="AM156" i="1"/>
  <c r="AL156" i="1"/>
  <c r="AN156" i="1"/>
  <c r="AI165" i="1"/>
  <c r="AJ165" i="1"/>
  <c r="AG165" i="1"/>
  <c r="AH165" i="1"/>
  <c r="AE165" i="1"/>
  <c r="AF165" i="1"/>
  <c r="AM167" i="1"/>
  <c r="AM187" i="1"/>
  <c r="AP183" i="1"/>
  <c r="AL181" i="1"/>
  <c r="AO178" i="1"/>
  <c r="AL187" i="1"/>
  <c r="AO183" i="1"/>
  <c r="AN183" i="1"/>
  <c r="AQ183" i="1"/>
  <c r="AK178" i="1"/>
  <c r="AL183" i="1"/>
  <c r="AK181" i="1"/>
  <c r="AQ167" i="1"/>
  <c r="AN167" i="1"/>
  <c r="AK183" i="1"/>
  <c r="AP181" i="1"/>
  <c r="AL167" i="1"/>
  <c r="AK187" i="1"/>
  <c r="AN181" i="1"/>
  <c r="AQ178" i="1"/>
  <c r="AM174" i="1"/>
  <c r="AN174" i="1"/>
  <c r="AK174" i="1"/>
  <c r="AP174" i="1"/>
  <c r="AO174" i="1"/>
  <c r="AL174" i="1"/>
  <c r="AQ174" i="1"/>
  <c r="D194" i="1"/>
  <c r="A206" i="1"/>
  <c r="D206" i="1"/>
  <c r="AI179" i="1"/>
  <c r="AJ179" i="1"/>
  <c r="AG179" i="1"/>
  <c r="AH179" i="1"/>
  <c r="AE179" i="1"/>
  <c r="AF179" i="1"/>
  <c r="AN187" i="1"/>
  <c r="AO167" i="1"/>
  <c r="AM178" i="1"/>
  <c r="AG182" i="1"/>
  <c r="AH182" i="1"/>
  <c r="AI182" i="1"/>
  <c r="AJ182" i="1"/>
  <c r="AE182" i="1"/>
  <c r="AF182" i="1"/>
  <c r="AG190" i="1"/>
  <c r="AH190" i="1"/>
  <c r="AI190" i="1"/>
  <c r="AJ190" i="1"/>
  <c r="AE190" i="1"/>
  <c r="AF190" i="1"/>
  <c r="AP187" i="1"/>
  <c r="AQ187" i="1"/>
  <c r="AL178" i="1"/>
  <c r="AM183" i="1"/>
  <c r="AM181" i="1"/>
  <c r="AG186" i="1"/>
  <c r="AH186" i="1"/>
  <c r="AI186" i="1"/>
  <c r="AJ186" i="1"/>
  <c r="AE186" i="1"/>
  <c r="AF186" i="1"/>
  <c r="AO160" i="1"/>
  <c r="AN160" i="1"/>
  <c r="AM160" i="1"/>
  <c r="AL160" i="1"/>
  <c r="AQ160" i="1"/>
  <c r="AK160" i="1"/>
  <c r="AP160" i="1"/>
  <c r="D176" i="1"/>
  <c r="A188" i="1"/>
  <c r="AG193" i="1"/>
  <c r="AH193" i="1"/>
  <c r="AE193" i="1"/>
  <c r="AF193" i="1"/>
  <c r="AI193" i="1"/>
  <c r="AJ193" i="1"/>
  <c r="AM152" i="1"/>
  <c r="AL152" i="1"/>
  <c r="AQ152" i="1"/>
  <c r="AN152" i="1"/>
  <c r="AO152" i="1"/>
  <c r="AK152" i="1"/>
  <c r="AP152" i="1"/>
  <c r="AI172" i="1"/>
  <c r="AJ172" i="1"/>
  <c r="AG172" i="1"/>
  <c r="AH172" i="1"/>
  <c r="AE172" i="1"/>
  <c r="AF172" i="1"/>
  <c r="AI195" i="1"/>
  <c r="AJ195" i="1"/>
  <c r="AG195" i="1"/>
  <c r="AH195" i="1"/>
  <c r="AE195" i="1"/>
  <c r="AF195" i="1"/>
  <c r="AO187" i="1"/>
  <c r="AP167" i="1"/>
  <c r="AN178" i="1"/>
  <c r="AO181" i="1"/>
  <c r="D198" i="1"/>
  <c r="A210" i="1"/>
  <c r="D210" i="1"/>
  <c r="AI199" i="1"/>
  <c r="AJ199" i="1"/>
  <c r="AG199" i="1"/>
  <c r="AH199" i="1"/>
  <c r="AE199" i="1"/>
  <c r="AF199" i="1"/>
  <c r="AK167" i="1"/>
  <c r="AP178" i="1"/>
  <c r="AQ181" i="1"/>
  <c r="AK170" i="1"/>
  <c r="AQ170" i="1"/>
  <c r="AP170" i="1"/>
  <c r="AN170" i="1"/>
  <c r="AO170" i="1"/>
  <c r="AM170" i="1"/>
  <c r="AL170" i="1"/>
  <c r="AI164" i="1"/>
  <c r="AJ164" i="1"/>
  <c r="AG164" i="1"/>
  <c r="AH164" i="1"/>
  <c r="AE164" i="1"/>
  <c r="AF164" i="1"/>
  <c r="D184" i="1"/>
  <c r="A196" i="1"/>
  <c r="D191" i="1"/>
  <c r="A203" i="1"/>
  <c r="D211" i="1"/>
  <c r="D207" i="1"/>
  <c r="D202" i="1"/>
  <c r="A214" i="1"/>
  <c r="D205" i="1"/>
  <c r="D185" i="1"/>
  <c r="A197" i="1"/>
  <c r="AN161" i="1"/>
  <c r="AQ161" i="1"/>
  <c r="AO161" i="1"/>
  <c r="AK161" i="1"/>
  <c r="AM161" i="1"/>
  <c r="AL161" i="1"/>
  <c r="AP161" i="1"/>
  <c r="AI173" i="1"/>
  <c r="AJ173" i="1"/>
  <c r="AG173" i="1"/>
  <c r="AH173" i="1"/>
  <c r="AE173" i="1"/>
  <c r="AF173" i="1"/>
  <c r="AG177" i="1"/>
  <c r="AH177" i="1"/>
  <c r="AE177" i="1"/>
  <c r="AF177" i="1"/>
  <c r="AI177" i="1"/>
  <c r="AJ177" i="1"/>
  <c r="AN165" i="1"/>
  <c r="AQ165" i="1"/>
  <c r="AL165" i="1"/>
  <c r="AO165" i="1"/>
  <c r="AK165" i="1"/>
  <c r="AP165" i="1"/>
  <c r="AM165" i="1"/>
  <c r="AI180" i="1"/>
  <c r="AJ180" i="1"/>
  <c r="AG180" i="1"/>
  <c r="AH180" i="1"/>
  <c r="AE180" i="1"/>
  <c r="AF180" i="1"/>
  <c r="AK168" i="1"/>
  <c r="AP168" i="1"/>
  <c r="AQ168" i="1"/>
  <c r="AO168" i="1"/>
  <c r="AN168" i="1"/>
  <c r="AL168" i="1"/>
  <c r="AM168" i="1"/>
  <c r="D192" i="1"/>
  <c r="A204" i="1"/>
  <c r="D204" i="1"/>
  <c r="D189" i="1"/>
  <c r="A201" i="1"/>
  <c r="AM190" i="1"/>
  <c r="AO193" i="1"/>
  <c r="AL179" i="1"/>
  <c r="AM199" i="1"/>
  <c r="AK195" i="1"/>
  <c r="AN190" i="1"/>
  <c r="AN193" i="1"/>
  <c r="AK179" i="1"/>
  <c r="AL199" i="1"/>
  <c r="AO199" i="1"/>
  <c r="AQ195" i="1"/>
  <c r="AQ193" i="1"/>
  <c r="AL190" i="1"/>
  <c r="AO179" i="1"/>
  <c r="AG198" i="1"/>
  <c r="AH198" i="1"/>
  <c r="AI198" i="1"/>
  <c r="AJ198" i="1"/>
  <c r="AE198" i="1"/>
  <c r="AF198" i="1"/>
  <c r="AM195" i="1"/>
  <c r="AI176" i="1"/>
  <c r="AJ176" i="1"/>
  <c r="AE176" i="1"/>
  <c r="AF176" i="1"/>
  <c r="AG176" i="1"/>
  <c r="AH176" i="1"/>
  <c r="AG194" i="1"/>
  <c r="AH194" i="1"/>
  <c r="AI194" i="1"/>
  <c r="AJ194" i="1"/>
  <c r="AE194" i="1"/>
  <c r="AF194" i="1"/>
  <c r="AI207" i="1"/>
  <c r="AJ207" i="1"/>
  <c r="AG207" i="1"/>
  <c r="AH207" i="1"/>
  <c r="AE207" i="1"/>
  <c r="AF207" i="1"/>
  <c r="AI191" i="1"/>
  <c r="AJ191" i="1"/>
  <c r="AG191" i="1"/>
  <c r="AH191" i="1"/>
  <c r="AE191" i="1"/>
  <c r="AF191" i="1"/>
  <c r="AQ164" i="1"/>
  <c r="AP164" i="1"/>
  <c r="AO164" i="1"/>
  <c r="AN164" i="1"/>
  <c r="AL164" i="1"/>
  <c r="AM164" i="1"/>
  <c r="AK164" i="1"/>
  <c r="AI211" i="1"/>
  <c r="AJ211" i="1"/>
  <c r="AG211" i="1"/>
  <c r="AH211" i="1"/>
  <c r="AE211" i="1"/>
  <c r="AF211" i="1"/>
  <c r="AL195" i="1"/>
  <c r="AN179" i="1"/>
  <c r="AO190" i="1"/>
  <c r="AP190" i="1"/>
  <c r="AN195" i="1"/>
  <c r="AO195" i="1"/>
  <c r="AM179" i="1"/>
  <c r="AP179" i="1"/>
  <c r="AQ190" i="1"/>
  <c r="AP199" i="1"/>
  <c r="AQ199" i="1"/>
  <c r="AK193" i="1"/>
  <c r="AI184" i="1"/>
  <c r="AJ184" i="1"/>
  <c r="AG184" i="1"/>
  <c r="AH184" i="1"/>
  <c r="AE184" i="1"/>
  <c r="AF184" i="1"/>
  <c r="AG202" i="1"/>
  <c r="AH202" i="1"/>
  <c r="AI202" i="1"/>
  <c r="AJ202" i="1"/>
  <c r="AE202" i="1"/>
  <c r="AF202" i="1"/>
  <c r="AP195" i="1"/>
  <c r="AQ179" i="1"/>
  <c r="AK190" i="1"/>
  <c r="AK199" i="1"/>
  <c r="AL193" i="1"/>
  <c r="AM193" i="1"/>
  <c r="AG210" i="1"/>
  <c r="AH210" i="1"/>
  <c r="AI210" i="1"/>
  <c r="AJ210" i="1"/>
  <c r="AE210" i="1"/>
  <c r="AF210" i="1"/>
  <c r="AM172" i="1"/>
  <c r="AL172" i="1"/>
  <c r="AO172" i="1"/>
  <c r="AQ172" i="1"/>
  <c r="AP172" i="1"/>
  <c r="AN172" i="1"/>
  <c r="AK172" i="1"/>
  <c r="AM186" i="1"/>
  <c r="AQ186" i="1"/>
  <c r="AN186" i="1"/>
  <c r="AK186" i="1"/>
  <c r="AP186" i="1"/>
  <c r="AL186" i="1"/>
  <c r="AO186" i="1"/>
  <c r="AG205" i="1"/>
  <c r="AH205" i="1"/>
  <c r="AE205" i="1"/>
  <c r="AF205" i="1"/>
  <c r="AI205" i="1"/>
  <c r="AJ205" i="1"/>
  <c r="AN199" i="1"/>
  <c r="AP193" i="1"/>
  <c r="D196" i="1"/>
  <c r="A208" i="1"/>
  <c r="D208" i="1"/>
  <c r="D188" i="1"/>
  <c r="A200" i="1"/>
  <c r="AQ182" i="1"/>
  <c r="AP182" i="1"/>
  <c r="AL182" i="1"/>
  <c r="AM182" i="1"/>
  <c r="AK182" i="1"/>
  <c r="AO182" i="1"/>
  <c r="AN182" i="1"/>
  <c r="AG206" i="1"/>
  <c r="AH206" i="1"/>
  <c r="AI206" i="1"/>
  <c r="AJ206" i="1"/>
  <c r="AE206" i="1"/>
  <c r="AF206" i="1"/>
  <c r="D203" i="1"/>
  <c r="D214" i="1"/>
  <c r="AE185" i="1"/>
  <c r="AF185" i="1"/>
  <c r="AG185" i="1"/>
  <c r="AH185" i="1"/>
  <c r="AI185" i="1"/>
  <c r="AJ185" i="1"/>
  <c r="AQ173" i="1"/>
  <c r="AO173" i="1"/>
  <c r="AM173" i="1"/>
  <c r="AK173" i="1"/>
  <c r="AP173" i="1"/>
  <c r="AL173" i="1"/>
  <c r="AN173" i="1"/>
  <c r="D197" i="1"/>
  <c r="A209" i="1"/>
  <c r="D209" i="1"/>
  <c r="AP177" i="1"/>
  <c r="AL177" i="1"/>
  <c r="AQ177" i="1"/>
  <c r="AM177" i="1"/>
  <c r="AN177" i="1"/>
  <c r="AO177" i="1"/>
  <c r="AK177" i="1"/>
  <c r="D201" i="1"/>
  <c r="A213" i="1"/>
  <c r="D213" i="1"/>
  <c r="AP180" i="1"/>
  <c r="AQ180" i="1"/>
  <c r="AM180" i="1"/>
  <c r="AN180" i="1"/>
  <c r="AL180" i="1"/>
  <c r="AO180" i="1"/>
  <c r="AK180" i="1"/>
  <c r="AI189" i="1"/>
  <c r="AJ189" i="1"/>
  <c r="AE189" i="1"/>
  <c r="AF189" i="1"/>
  <c r="AG189" i="1"/>
  <c r="AH189" i="1"/>
  <c r="AE192" i="1"/>
  <c r="AF192" i="1"/>
  <c r="AG192" i="1"/>
  <c r="AH192" i="1"/>
  <c r="AI192" i="1"/>
  <c r="AJ192" i="1"/>
  <c r="AE204" i="1"/>
  <c r="AF204" i="1"/>
  <c r="AI204" i="1"/>
  <c r="AJ204" i="1"/>
  <c r="AG204" i="1"/>
  <c r="AH204" i="1"/>
  <c r="AP191" i="1"/>
  <c r="AP205" i="1"/>
  <c r="AP202" i="1"/>
  <c r="AL211" i="1"/>
  <c r="AO191" i="1"/>
  <c r="AQ207" i="1"/>
  <c r="AN202" i="1"/>
  <c r="AQ191" i="1"/>
  <c r="AK205" i="1"/>
  <c r="AM202" i="1"/>
  <c r="AK207" i="1"/>
  <c r="AQ211" i="1"/>
  <c r="AG214" i="1"/>
  <c r="AH214" i="1"/>
  <c r="AI214" i="1"/>
  <c r="AJ214" i="1"/>
  <c r="AE214" i="1"/>
  <c r="AF214" i="1"/>
  <c r="AL205" i="1"/>
  <c r="AM205" i="1"/>
  <c r="AO176" i="1"/>
  <c r="AP176" i="1"/>
  <c r="AK176" i="1"/>
  <c r="AL176" i="1"/>
  <c r="AN176" i="1"/>
  <c r="AQ176" i="1"/>
  <c r="AM176" i="1"/>
  <c r="AI203" i="1"/>
  <c r="AJ203" i="1"/>
  <c r="AG203" i="1"/>
  <c r="AH203" i="1"/>
  <c r="AE203" i="1"/>
  <c r="AF203" i="1"/>
  <c r="AP211" i="1"/>
  <c r="AO202" i="1"/>
  <c r="AL207" i="1"/>
  <c r="AO205" i="1"/>
  <c r="AL191" i="1"/>
  <c r="AO207" i="1"/>
  <c r="AQ205" i="1"/>
  <c r="AI188" i="1"/>
  <c r="AJ188" i="1"/>
  <c r="AG188" i="1"/>
  <c r="AH188" i="1"/>
  <c r="AE188" i="1"/>
  <c r="AF188" i="1"/>
  <c r="AK191" i="1"/>
  <c r="AM207" i="1"/>
  <c r="AN205" i="1"/>
  <c r="AN211" i="1"/>
  <c r="AK211" i="1"/>
  <c r="AQ202" i="1"/>
  <c r="AM191" i="1"/>
  <c r="AN207" i="1"/>
  <c r="AL210" i="1"/>
  <c r="AK210" i="1"/>
  <c r="AO210" i="1"/>
  <c r="AQ210" i="1"/>
  <c r="AP210" i="1"/>
  <c r="AM210" i="1"/>
  <c r="AN210" i="1"/>
  <c r="AM211" i="1"/>
  <c r="AO211" i="1"/>
  <c r="AK202" i="1"/>
  <c r="AL202" i="1"/>
  <c r="AN191" i="1"/>
  <c r="AP207" i="1"/>
  <c r="AI208" i="1"/>
  <c r="AJ208" i="1"/>
  <c r="AE208" i="1"/>
  <c r="AF208" i="1"/>
  <c r="AG208" i="1"/>
  <c r="AH208" i="1"/>
  <c r="AQ184" i="1"/>
  <c r="AN184" i="1"/>
  <c r="AO184" i="1"/>
  <c r="AP184" i="1"/>
  <c r="AM184" i="1"/>
  <c r="AL184" i="1"/>
  <c r="AK184" i="1"/>
  <c r="AL194" i="1"/>
  <c r="AK194" i="1"/>
  <c r="AQ194" i="1"/>
  <c r="AP194" i="1"/>
  <c r="AO194" i="1"/>
  <c r="AM194" i="1"/>
  <c r="AN194" i="1"/>
  <c r="AI196" i="1"/>
  <c r="AJ196" i="1"/>
  <c r="AG196" i="1"/>
  <c r="AH196" i="1"/>
  <c r="AE196" i="1"/>
  <c r="AF196" i="1"/>
  <c r="AQ206" i="1"/>
  <c r="AL206" i="1"/>
  <c r="AP206" i="1"/>
  <c r="AN206" i="1"/>
  <c r="AK206" i="1"/>
  <c r="AO206" i="1"/>
  <c r="AM206" i="1"/>
  <c r="D200" i="1"/>
  <c r="A212" i="1"/>
  <c r="D212" i="1"/>
  <c r="AN198" i="1"/>
  <c r="AM198" i="1"/>
  <c r="AL198" i="1"/>
  <c r="AK198" i="1"/>
  <c r="AO198" i="1"/>
  <c r="AP198" i="1"/>
  <c r="AQ198" i="1"/>
  <c r="AE209" i="1"/>
  <c r="AF209" i="1"/>
  <c r="AI209" i="1"/>
  <c r="AJ209" i="1"/>
  <c r="AG209" i="1"/>
  <c r="AH209" i="1"/>
  <c r="AG197" i="1"/>
  <c r="AH197" i="1"/>
  <c r="AI197" i="1"/>
  <c r="AJ197" i="1"/>
  <c r="AE197" i="1"/>
  <c r="AF197" i="1"/>
  <c r="AL185" i="1"/>
  <c r="AK185" i="1"/>
  <c r="AP185" i="1"/>
  <c r="AM185" i="1"/>
  <c r="AN185" i="1"/>
  <c r="AQ185" i="1"/>
  <c r="AO185" i="1"/>
  <c r="AE213" i="1"/>
  <c r="AF213" i="1"/>
  <c r="AI213" i="1"/>
  <c r="AJ213" i="1"/>
  <c r="AG213" i="1"/>
  <c r="AH213" i="1"/>
  <c r="AG201" i="1"/>
  <c r="AH201" i="1"/>
  <c r="AI201" i="1"/>
  <c r="AJ201" i="1"/>
  <c r="AE201" i="1"/>
  <c r="AF201" i="1"/>
  <c r="AO204" i="1"/>
  <c r="AQ204" i="1"/>
  <c r="AN204" i="1"/>
  <c r="AL204" i="1"/>
  <c r="AM204" i="1"/>
  <c r="AP204" i="1"/>
  <c r="AK204" i="1"/>
  <c r="AP189" i="1"/>
  <c r="AQ189" i="1"/>
  <c r="AK189" i="1"/>
  <c r="AN189" i="1"/>
  <c r="AM189" i="1"/>
  <c r="AO189" i="1"/>
  <c r="AL189" i="1"/>
  <c r="AQ192" i="1"/>
  <c r="AM192" i="1"/>
  <c r="AP192" i="1"/>
  <c r="AK192" i="1"/>
  <c r="AL192" i="1"/>
  <c r="AN192" i="1"/>
  <c r="AO192" i="1"/>
  <c r="AP214" i="1"/>
  <c r="AQ203" i="1"/>
  <c r="AO203" i="1"/>
  <c r="AQ214" i="1"/>
  <c r="AN203" i="1"/>
  <c r="AP203" i="1"/>
  <c r="AK214" i="1"/>
  <c r="AO214" i="1"/>
  <c r="AM203" i="1"/>
  <c r="AQ188" i="1"/>
  <c r="AP188" i="1"/>
  <c r="AO188" i="1"/>
  <c r="AN188" i="1"/>
  <c r="AK188" i="1"/>
  <c r="AL188" i="1"/>
  <c r="AM188" i="1"/>
  <c r="AK203" i="1"/>
  <c r="AL214" i="1"/>
  <c r="AM214" i="1"/>
  <c r="AL203" i="1"/>
  <c r="AN214" i="1"/>
  <c r="AI212" i="1"/>
  <c r="AJ212" i="1"/>
  <c r="AG212" i="1"/>
  <c r="AH212" i="1"/>
  <c r="AE212" i="1"/>
  <c r="AF212" i="1"/>
  <c r="AI200" i="1"/>
  <c r="AJ200" i="1"/>
  <c r="AG200" i="1"/>
  <c r="AH200" i="1"/>
  <c r="AE200" i="1"/>
  <c r="AF200" i="1"/>
  <c r="AN196" i="1"/>
  <c r="AM196" i="1"/>
  <c r="AO196" i="1"/>
  <c r="AP196" i="1"/>
  <c r="AK196" i="1"/>
  <c r="AL196" i="1"/>
  <c r="AQ196" i="1"/>
  <c r="AQ208" i="1"/>
  <c r="AP208" i="1"/>
  <c r="AO208" i="1"/>
  <c r="AM208" i="1"/>
  <c r="AL208" i="1"/>
  <c r="AK208" i="1"/>
  <c r="AN208" i="1"/>
  <c r="AM197" i="1"/>
  <c r="AQ197" i="1"/>
  <c r="AP197" i="1"/>
  <c r="AN197" i="1"/>
  <c r="AO197" i="1"/>
  <c r="AK197" i="1"/>
  <c r="AL197" i="1"/>
  <c r="AQ209" i="1"/>
  <c r="AP209" i="1"/>
  <c r="AK209" i="1"/>
  <c r="AM209" i="1"/>
  <c r="AL209" i="1"/>
  <c r="AN209" i="1"/>
  <c r="AO209" i="1"/>
  <c r="AL201" i="1"/>
  <c r="AQ201" i="1"/>
  <c r="AN201" i="1"/>
  <c r="AP201" i="1"/>
  <c r="AO201" i="1"/>
  <c r="AM201" i="1"/>
  <c r="AK201" i="1"/>
  <c r="AL213" i="1"/>
  <c r="AK213" i="1"/>
  <c r="AN213" i="1"/>
  <c r="AQ213" i="1"/>
  <c r="AO213" i="1"/>
  <c r="AM213" i="1"/>
  <c r="AP213" i="1"/>
  <c r="AM212" i="1"/>
  <c r="AL212" i="1"/>
  <c r="AK212" i="1"/>
  <c r="AP212" i="1"/>
  <c r="AO212" i="1"/>
  <c r="AN212" i="1"/>
  <c r="AQ212" i="1"/>
  <c r="AP200" i="1"/>
  <c r="AO200" i="1"/>
  <c r="AN200" i="1"/>
  <c r="AK200" i="1"/>
  <c r="AQ200" i="1"/>
  <c r="AM200" i="1"/>
  <c r="AL200" i="1"/>
  <c r="AA218" i="7"/>
  <c r="AB220" i="1"/>
  <c r="Z218" i="7"/>
  <c r="AA220" i="1"/>
  <c r="Y218" i="7"/>
  <c r="Z220" i="1"/>
  <c r="X218" i="7"/>
  <c r="Y220" i="1"/>
  <c r="U218" i="7"/>
  <c r="V220" i="1"/>
  <c r="AA217" i="7"/>
  <c r="AB219" i="1"/>
  <c r="Z217" i="7"/>
  <c r="AA219" i="1"/>
  <c r="Y217" i="7"/>
  <c r="Z219" i="1"/>
  <c r="X217" i="7"/>
  <c r="Y219" i="1"/>
  <c r="U217" i="7"/>
  <c r="V219" i="1"/>
  <c r="AA216" i="7"/>
  <c r="AB218" i="1"/>
  <c r="Z216" i="7"/>
  <c r="AA218" i="1"/>
  <c r="Y216" i="7"/>
  <c r="Z218" i="1"/>
  <c r="X216" i="7"/>
  <c r="Y218" i="1"/>
  <c r="U216" i="7"/>
  <c r="V218" i="1"/>
  <c r="AA215" i="7"/>
  <c r="AB217" i="1"/>
  <c r="Z215" i="7"/>
  <c r="AA217" i="1"/>
  <c r="Y215" i="7"/>
  <c r="Z217" i="1"/>
  <c r="X215" i="7"/>
  <c r="Y217" i="1"/>
  <c r="U215" i="7"/>
  <c r="V217" i="1"/>
  <c r="AA214" i="7"/>
  <c r="AB216" i="1"/>
  <c r="Z214" i="7"/>
  <c r="AA216" i="1"/>
  <c r="Y214" i="7"/>
  <c r="Z216" i="1"/>
  <c r="X214" i="7"/>
  <c r="Y216" i="1"/>
  <c r="U214" i="7"/>
  <c r="V216" i="1"/>
  <c r="S212" i="7"/>
  <c r="T214" i="1"/>
  <c r="R212" i="7"/>
  <c r="S214" i="1"/>
  <c r="Q212" i="7"/>
  <c r="R214" i="1"/>
  <c r="P212" i="7"/>
  <c r="Q214" i="1"/>
  <c r="L212" i="7"/>
  <c r="M214" i="1"/>
  <c r="K212" i="7"/>
  <c r="L214" i="1"/>
  <c r="J212" i="7"/>
  <c r="K214" i="1"/>
  <c r="I212" i="7"/>
  <c r="J214" i="1"/>
  <c r="H212" i="7"/>
  <c r="I214" i="1"/>
  <c r="G212" i="7"/>
  <c r="H214" i="1"/>
  <c r="S211" i="7"/>
  <c r="T213" i="1"/>
  <c r="R211" i="7"/>
  <c r="S213" i="1"/>
  <c r="Q211" i="7"/>
  <c r="R213" i="1"/>
  <c r="P211" i="7"/>
  <c r="Q213" i="1"/>
  <c r="L211" i="7"/>
  <c r="M213" i="1"/>
  <c r="K211" i="7"/>
  <c r="L213" i="1"/>
  <c r="J211" i="7"/>
  <c r="K213" i="1"/>
  <c r="I211" i="7"/>
  <c r="J213" i="1"/>
  <c r="H211" i="7"/>
  <c r="I213" i="1"/>
  <c r="G211" i="7"/>
  <c r="H213" i="1"/>
  <c r="S210" i="7"/>
  <c r="T212" i="1"/>
  <c r="R210" i="7"/>
  <c r="S212" i="1"/>
  <c r="Q210" i="7"/>
  <c r="R212" i="1"/>
  <c r="P210" i="7"/>
  <c r="Q212" i="1"/>
  <c r="L210" i="7"/>
  <c r="M212" i="1"/>
  <c r="K210" i="7"/>
  <c r="L212" i="1"/>
  <c r="J210" i="7"/>
  <c r="K212" i="1"/>
  <c r="I210" i="7"/>
  <c r="J212" i="1"/>
  <c r="H210" i="7"/>
  <c r="I212" i="1"/>
  <c r="G210" i="7"/>
  <c r="H212" i="1"/>
  <c r="S209" i="7"/>
  <c r="T211" i="1"/>
  <c r="R209" i="7"/>
  <c r="S211" i="1"/>
  <c r="Q209" i="7"/>
  <c r="R211" i="1"/>
  <c r="P209" i="7"/>
  <c r="Q211" i="1"/>
  <c r="L209" i="7"/>
  <c r="M211" i="1"/>
  <c r="K209" i="7"/>
  <c r="L211" i="1"/>
  <c r="J209" i="7"/>
  <c r="K211" i="1"/>
  <c r="I209" i="7"/>
  <c r="J211" i="1"/>
  <c r="H209" i="7"/>
  <c r="I211" i="1"/>
  <c r="G209" i="7"/>
  <c r="H211" i="1"/>
  <c r="S208" i="7"/>
  <c r="T210" i="1"/>
  <c r="R208" i="7"/>
  <c r="S210" i="1"/>
  <c r="Q208" i="7"/>
  <c r="R210" i="1"/>
  <c r="P208" i="7"/>
  <c r="Q210" i="1"/>
  <c r="L208" i="7"/>
  <c r="M210" i="1"/>
  <c r="K208" i="7"/>
  <c r="L210" i="1"/>
  <c r="J208" i="7"/>
  <c r="K210" i="1"/>
  <c r="I208" i="7"/>
  <c r="J210" i="1"/>
  <c r="H208" i="7"/>
  <c r="I210" i="1"/>
  <c r="G208" i="7"/>
  <c r="H210" i="1"/>
  <c r="S207" i="7"/>
  <c r="T209" i="1"/>
  <c r="R207" i="7"/>
  <c r="S209" i="1"/>
  <c r="Q207" i="7"/>
  <c r="R209" i="1"/>
  <c r="P207" i="7"/>
  <c r="Q209" i="1"/>
  <c r="L207" i="7"/>
  <c r="M209" i="1"/>
  <c r="K207" i="7"/>
  <c r="L209" i="1"/>
  <c r="J207" i="7"/>
  <c r="K209" i="1"/>
  <c r="I207" i="7"/>
  <c r="J209" i="1"/>
  <c r="H207" i="7"/>
  <c r="I209" i="1"/>
  <c r="G207" i="7"/>
  <c r="H209" i="1"/>
  <c r="S206" i="7"/>
  <c r="T208" i="1"/>
  <c r="R206" i="7"/>
  <c r="S208" i="1"/>
  <c r="Q206" i="7"/>
  <c r="R208" i="1"/>
  <c r="P206" i="7"/>
  <c r="Q208" i="1"/>
  <c r="L206" i="7"/>
  <c r="M208" i="1"/>
  <c r="K206" i="7"/>
  <c r="L208" i="1"/>
  <c r="J206" i="7"/>
  <c r="K208" i="1"/>
  <c r="I206" i="7"/>
  <c r="J208" i="1"/>
  <c r="H206" i="7"/>
  <c r="I208" i="1"/>
  <c r="G206" i="7"/>
  <c r="H208" i="1"/>
  <c r="S205" i="7"/>
  <c r="T207" i="1"/>
  <c r="R205" i="7"/>
  <c r="S207" i="1"/>
  <c r="Q205" i="7"/>
  <c r="R207" i="1"/>
  <c r="P205" i="7"/>
  <c r="Q207" i="1"/>
  <c r="L205" i="7"/>
  <c r="M207" i="1"/>
  <c r="K205" i="7"/>
  <c r="L207" i="1"/>
  <c r="J205" i="7"/>
  <c r="K207" i="1"/>
  <c r="I205" i="7"/>
  <c r="J207" i="1"/>
  <c r="H205" i="7"/>
  <c r="I207" i="1"/>
  <c r="G205" i="7"/>
  <c r="H207" i="1"/>
  <c r="S204" i="7"/>
  <c r="T206" i="1"/>
  <c r="R204" i="7"/>
  <c r="S206" i="1"/>
  <c r="Q204" i="7"/>
  <c r="R206" i="1"/>
  <c r="P204" i="7"/>
  <c r="Q206" i="1"/>
  <c r="L204" i="7"/>
  <c r="M206" i="1"/>
  <c r="K204" i="7"/>
  <c r="L206" i="1"/>
  <c r="J204" i="7"/>
  <c r="K206" i="1"/>
  <c r="I204" i="7"/>
  <c r="J206" i="1"/>
  <c r="H204" i="7"/>
  <c r="I206" i="1"/>
  <c r="G204" i="7"/>
  <c r="H206" i="1"/>
  <c r="S203" i="7"/>
  <c r="T205" i="1"/>
  <c r="R203" i="7"/>
  <c r="S205" i="1"/>
  <c r="Q203" i="7"/>
  <c r="R205" i="1"/>
  <c r="P203" i="7"/>
  <c r="Q205" i="1"/>
  <c r="L203" i="7"/>
  <c r="M205" i="1"/>
  <c r="K203" i="7"/>
  <c r="L205" i="1"/>
  <c r="J203" i="7"/>
  <c r="K205" i="1"/>
  <c r="I203" i="7"/>
  <c r="J205" i="1"/>
  <c r="H203" i="7"/>
  <c r="I205" i="1"/>
  <c r="G203" i="7"/>
  <c r="H205" i="1"/>
  <c r="S202" i="7"/>
  <c r="T204" i="1"/>
  <c r="R202" i="7"/>
  <c r="S204" i="1"/>
  <c r="Q202" i="7"/>
  <c r="R204" i="1"/>
  <c r="P202" i="7"/>
  <c r="Q204" i="1"/>
  <c r="L202" i="7"/>
  <c r="M204" i="1"/>
  <c r="K202" i="7"/>
  <c r="L204" i="1"/>
  <c r="J202" i="7"/>
  <c r="K204" i="1"/>
  <c r="I202" i="7"/>
  <c r="J204" i="1"/>
  <c r="H202" i="7"/>
  <c r="I204" i="1"/>
  <c r="G202" i="7"/>
  <c r="H204" i="1"/>
  <c r="S201" i="7"/>
  <c r="T203" i="1"/>
  <c r="R201" i="7"/>
  <c r="S203" i="1"/>
  <c r="Q201" i="7"/>
  <c r="R203" i="1"/>
  <c r="P201" i="7"/>
  <c r="Q203" i="1"/>
  <c r="L201" i="7"/>
  <c r="M203" i="1"/>
  <c r="K201" i="7"/>
  <c r="L203" i="1"/>
  <c r="J201" i="7"/>
  <c r="K203" i="1"/>
  <c r="I201" i="7"/>
  <c r="J203" i="1"/>
  <c r="H201" i="7"/>
  <c r="I203" i="1"/>
  <c r="G201" i="7"/>
  <c r="H203" i="1"/>
  <c r="S200" i="7"/>
  <c r="T202" i="1"/>
  <c r="R200" i="7"/>
  <c r="S202" i="1"/>
  <c r="Q200" i="7"/>
  <c r="R202" i="1"/>
  <c r="P200" i="7"/>
  <c r="Q202" i="1"/>
  <c r="L200" i="7"/>
  <c r="M202" i="1"/>
  <c r="K200" i="7"/>
  <c r="L202" i="1"/>
  <c r="J200" i="7"/>
  <c r="K202" i="1"/>
  <c r="I200" i="7"/>
  <c r="J202" i="1"/>
  <c r="H200" i="7"/>
  <c r="I202" i="1"/>
  <c r="G200" i="7"/>
  <c r="H202" i="1"/>
  <c r="S199" i="7"/>
  <c r="T201" i="1"/>
  <c r="R199" i="7"/>
  <c r="S201" i="1"/>
  <c r="Q199" i="7"/>
  <c r="R201" i="1"/>
  <c r="P199" i="7"/>
  <c r="Q201" i="1"/>
  <c r="L199" i="7"/>
  <c r="M201" i="1"/>
  <c r="K199" i="7"/>
  <c r="L201" i="1"/>
  <c r="J199" i="7"/>
  <c r="K201" i="1"/>
  <c r="I199" i="7"/>
  <c r="J201" i="1"/>
  <c r="H199" i="7"/>
  <c r="I201" i="1"/>
  <c r="G199" i="7"/>
  <c r="H201" i="1"/>
  <c r="S198" i="7"/>
  <c r="T200" i="1"/>
  <c r="R198" i="7"/>
  <c r="S200" i="1"/>
  <c r="Q198" i="7"/>
  <c r="R200" i="1"/>
  <c r="P198" i="7"/>
  <c r="Q200" i="1"/>
  <c r="L198" i="7"/>
  <c r="M200" i="1"/>
  <c r="K198" i="7"/>
  <c r="L200" i="1"/>
  <c r="J198" i="7"/>
  <c r="K200" i="1"/>
  <c r="I198" i="7"/>
  <c r="J200" i="1"/>
  <c r="H198" i="7"/>
  <c r="I200" i="1"/>
  <c r="G198" i="7"/>
  <c r="H200" i="1"/>
  <c r="S197" i="7"/>
  <c r="T199" i="1"/>
  <c r="R197" i="7"/>
  <c r="S199" i="1"/>
  <c r="Q197" i="7"/>
  <c r="R199" i="1"/>
  <c r="P197" i="7"/>
  <c r="Q199" i="1"/>
  <c r="L197" i="7"/>
  <c r="M199" i="1"/>
  <c r="K197" i="7"/>
  <c r="L199" i="1"/>
  <c r="J197" i="7"/>
  <c r="K199" i="1"/>
  <c r="I197" i="7"/>
  <c r="J199" i="1"/>
  <c r="H197" i="7"/>
  <c r="I199" i="1"/>
  <c r="G197" i="7"/>
  <c r="H199" i="1"/>
  <c r="S196" i="7"/>
  <c r="T198" i="1"/>
  <c r="R196" i="7"/>
  <c r="S198" i="1"/>
  <c r="Q196" i="7"/>
  <c r="R198" i="1"/>
  <c r="P196" i="7"/>
  <c r="Q198" i="1"/>
  <c r="L196" i="7"/>
  <c r="M198" i="1"/>
  <c r="K196" i="7"/>
  <c r="L198" i="1"/>
  <c r="J196" i="7"/>
  <c r="K198" i="1"/>
  <c r="I196" i="7"/>
  <c r="J198" i="1"/>
  <c r="H196" i="7"/>
  <c r="I198" i="1"/>
  <c r="G196" i="7"/>
  <c r="H198" i="1"/>
  <c r="S195" i="7"/>
  <c r="T197" i="1"/>
  <c r="R195" i="7"/>
  <c r="S197" i="1"/>
  <c r="Q195" i="7"/>
  <c r="R197" i="1"/>
  <c r="P195" i="7"/>
  <c r="Q197" i="1"/>
  <c r="L195" i="7"/>
  <c r="M197" i="1"/>
  <c r="K195" i="7"/>
  <c r="L197" i="1"/>
  <c r="J195" i="7"/>
  <c r="K197" i="1"/>
  <c r="I195" i="7"/>
  <c r="J197" i="1"/>
  <c r="H195" i="7"/>
  <c r="I197" i="1"/>
  <c r="G195" i="7"/>
  <c r="H197" i="1"/>
  <c r="S194" i="7"/>
  <c r="T196" i="1"/>
  <c r="R194" i="7"/>
  <c r="S196" i="1"/>
  <c r="Q194" i="7"/>
  <c r="R196" i="1"/>
  <c r="P194" i="7"/>
  <c r="Q196" i="1"/>
  <c r="L194" i="7"/>
  <c r="M196" i="1"/>
  <c r="K194" i="7"/>
  <c r="L196" i="1"/>
  <c r="J194" i="7"/>
  <c r="K196" i="1"/>
  <c r="I194" i="7"/>
  <c r="J196" i="1"/>
  <c r="H194" i="7"/>
  <c r="I196" i="1"/>
  <c r="G194" i="7"/>
  <c r="H196" i="1"/>
  <c r="S193" i="7"/>
  <c r="T195" i="1"/>
  <c r="R193" i="7"/>
  <c r="S195" i="1"/>
  <c r="Q193" i="7"/>
  <c r="R195" i="1"/>
  <c r="P193" i="7"/>
  <c r="Q195" i="1"/>
  <c r="L193" i="7"/>
  <c r="M195" i="1"/>
  <c r="K193" i="7"/>
  <c r="L195" i="1"/>
  <c r="J193" i="7"/>
  <c r="K195" i="1"/>
  <c r="I193" i="7"/>
  <c r="J195" i="1"/>
  <c r="H193" i="7"/>
  <c r="I195" i="1"/>
  <c r="G193" i="7"/>
  <c r="H195" i="1"/>
  <c r="S192" i="7"/>
  <c r="T194" i="1"/>
  <c r="R192" i="7"/>
  <c r="S194" i="1"/>
  <c r="Q192" i="7"/>
  <c r="R194" i="1"/>
  <c r="P192" i="7"/>
  <c r="Q194" i="1"/>
  <c r="L192" i="7"/>
  <c r="M194" i="1"/>
  <c r="K192" i="7"/>
  <c r="L194" i="1"/>
  <c r="J192" i="7"/>
  <c r="K194" i="1"/>
  <c r="I192" i="7"/>
  <c r="J194" i="1"/>
  <c r="H192" i="7"/>
  <c r="I194" i="1"/>
  <c r="G192" i="7"/>
  <c r="H194" i="1"/>
  <c r="S191" i="7"/>
  <c r="T193" i="1"/>
  <c r="R191" i="7"/>
  <c r="S193" i="1"/>
  <c r="Q191" i="7"/>
  <c r="R193" i="1"/>
  <c r="P191" i="7"/>
  <c r="Q193" i="1"/>
  <c r="L191" i="7"/>
  <c r="M193" i="1"/>
  <c r="K191" i="7"/>
  <c r="L193" i="1"/>
  <c r="J191" i="7"/>
  <c r="K193" i="1"/>
  <c r="I191" i="7"/>
  <c r="J193" i="1"/>
  <c r="H191" i="7"/>
  <c r="I193" i="1"/>
  <c r="G191" i="7"/>
  <c r="H193" i="1"/>
  <c r="S190" i="7"/>
  <c r="T192" i="1"/>
  <c r="R190" i="7"/>
  <c r="S192" i="1"/>
  <c r="Q190" i="7"/>
  <c r="R192" i="1"/>
  <c r="P190" i="7"/>
  <c r="Q192" i="1"/>
  <c r="L190" i="7"/>
  <c r="M192" i="1"/>
  <c r="K190" i="7"/>
  <c r="L192" i="1"/>
  <c r="J190" i="7"/>
  <c r="K192" i="1"/>
  <c r="I190" i="7"/>
  <c r="J192" i="1"/>
  <c r="H190" i="7"/>
  <c r="I192" i="1"/>
  <c r="G190" i="7"/>
  <c r="H192" i="1"/>
  <c r="S189" i="7"/>
  <c r="T191" i="1"/>
  <c r="R189" i="7"/>
  <c r="S191" i="1"/>
  <c r="Q189" i="7"/>
  <c r="R191" i="1"/>
  <c r="P189" i="7"/>
  <c r="Q191" i="1"/>
  <c r="L189" i="7"/>
  <c r="M191" i="1"/>
  <c r="K189" i="7"/>
  <c r="L191" i="1"/>
  <c r="J189" i="7"/>
  <c r="K191" i="1"/>
  <c r="I189" i="7"/>
  <c r="J191" i="1"/>
  <c r="H189" i="7"/>
  <c r="I191" i="1"/>
  <c r="G189" i="7"/>
  <c r="H191" i="1"/>
  <c r="S188" i="7"/>
  <c r="T190" i="1"/>
  <c r="R188" i="7"/>
  <c r="S190" i="1"/>
  <c r="Q188" i="7"/>
  <c r="R190" i="1"/>
  <c r="P188" i="7"/>
  <c r="Q190" i="1"/>
  <c r="L188" i="7"/>
  <c r="M190" i="1"/>
  <c r="K188" i="7"/>
  <c r="L190" i="1"/>
  <c r="J188" i="7"/>
  <c r="K190" i="1"/>
  <c r="I188" i="7"/>
  <c r="J190" i="1"/>
  <c r="H188" i="7"/>
  <c r="I190" i="1"/>
  <c r="G188" i="7"/>
  <c r="H190" i="1"/>
  <c r="S187" i="7"/>
  <c r="T189" i="1"/>
  <c r="R187" i="7"/>
  <c r="S189" i="1"/>
  <c r="Q187" i="7"/>
  <c r="R189" i="1"/>
  <c r="P187" i="7"/>
  <c r="Q189" i="1"/>
  <c r="L187" i="7"/>
  <c r="M189" i="1"/>
  <c r="K187" i="7"/>
  <c r="L189" i="1"/>
  <c r="J187" i="7"/>
  <c r="K189" i="1"/>
  <c r="I187" i="7"/>
  <c r="J189" i="1"/>
  <c r="H187" i="7"/>
  <c r="I189" i="1"/>
  <c r="G187" i="7"/>
  <c r="H189" i="1"/>
  <c r="S186" i="7"/>
  <c r="T188" i="1"/>
  <c r="R186" i="7"/>
  <c r="S188" i="1"/>
  <c r="Q186" i="7"/>
  <c r="R188" i="1"/>
  <c r="P186" i="7"/>
  <c r="Q188" i="1"/>
  <c r="L186" i="7"/>
  <c r="M188" i="1"/>
  <c r="K186" i="7"/>
  <c r="L188" i="1"/>
  <c r="J186" i="7"/>
  <c r="K188" i="1"/>
  <c r="I186" i="7"/>
  <c r="J188" i="1"/>
  <c r="H186" i="7"/>
  <c r="I188" i="1"/>
  <c r="G186" i="7"/>
  <c r="H188" i="1"/>
  <c r="S185" i="7"/>
  <c r="T187" i="1"/>
  <c r="R185" i="7"/>
  <c r="S187" i="1"/>
  <c r="Q185" i="7"/>
  <c r="R187" i="1"/>
  <c r="P185" i="7"/>
  <c r="Q187" i="1"/>
  <c r="L185" i="7"/>
  <c r="M187" i="1"/>
  <c r="K185" i="7"/>
  <c r="L187" i="1"/>
  <c r="J185" i="7"/>
  <c r="K187" i="1"/>
  <c r="I185" i="7"/>
  <c r="J187" i="1"/>
  <c r="H185" i="7"/>
  <c r="I187" i="1"/>
  <c r="G185" i="7"/>
  <c r="H187" i="1"/>
  <c r="S184" i="7"/>
  <c r="T186" i="1"/>
  <c r="R184" i="7"/>
  <c r="S186" i="1"/>
  <c r="Q184" i="7"/>
  <c r="R186" i="1"/>
  <c r="P184" i="7"/>
  <c r="Q186" i="1"/>
  <c r="L184" i="7"/>
  <c r="M186" i="1"/>
  <c r="K184" i="7"/>
  <c r="L186" i="1"/>
  <c r="J184" i="7"/>
  <c r="K186" i="1"/>
  <c r="I184" i="7"/>
  <c r="J186" i="1"/>
  <c r="H184" i="7"/>
  <c r="I186" i="1"/>
  <c r="G184" i="7"/>
  <c r="H186" i="1"/>
  <c r="S183" i="7"/>
  <c r="T185" i="1"/>
  <c r="R183" i="7"/>
  <c r="S185" i="1"/>
  <c r="Q183" i="7"/>
  <c r="R185" i="1"/>
  <c r="P183" i="7"/>
  <c r="Q185" i="1"/>
  <c r="L183" i="7"/>
  <c r="M185" i="1"/>
  <c r="K183" i="7"/>
  <c r="L185" i="1"/>
  <c r="J183" i="7"/>
  <c r="K185" i="1"/>
  <c r="I183" i="7"/>
  <c r="J185" i="1"/>
  <c r="H183" i="7"/>
  <c r="I185" i="1"/>
  <c r="G183" i="7"/>
  <c r="H185" i="1"/>
  <c r="S182" i="7"/>
  <c r="T184" i="1"/>
  <c r="R182" i="7"/>
  <c r="S184" i="1"/>
  <c r="Q182" i="7"/>
  <c r="R184" i="1"/>
  <c r="P182" i="7"/>
  <c r="Q184" i="1"/>
  <c r="L182" i="7"/>
  <c r="M184" i="1"/>
  <c r="K182" i="7"/>
  <c r="L184" i="1"/>
  <c r="J182" i="7"/>
  <c r="K184" i="1"/>
  <c r="I182" i="7"/>
  <c r="J184" i="1"/>
  <c r="H182" i="7"/>
  <c r="I184" i="1"/>
  <c r="G182" i="7"/>
  <c r="H184" i="1"/>
  <c r="S181" i="7"/>
  <c r="T183" i="1"/>
  <c r="R181" i="7"/>
  <c r="S183" i="1"/>
  <c r="Q181" i="7"/>
  <c r="R183" i="1"/>
  <c r="P181" i="7"/>
  <c r="Q183" i="1"/>
  <c r="L181" i="7"/>
  <c r="M183" i="1"/>
  <c r="K181" i="7"/>
  <c r="L183" i="1"/>
  <c r="J181" i="7"/>
  <c r="K183" i="1"/>
  <c r="I181" i="7"/>
  <c r="J183" i="1"/>
  <c r="H181" i="7"/>
  <c r="I183" i="1"/>
  <c r="G181" i="7"/>
  <c r="H183" i="1"/>
  <c r="S180" i="7"/>
  <c r="T182" i="1"/>
  <c r="R180" i="7"/>
  <c r="S182" i="1"/>
  <c r="Q180" i="7"/>
  <c r="R182" i="1"/>
  <c r="P180" i="7"/>
  <c r="Q182" i="1"/>
  <c r="L180" i="7"/>
  <c r="M182" i="1"/>
  <c r="K180" i="7"/>
  <c r="L182" i="1"/>
  <c r="J180" i="7"/>
  <c r="K182" i="1"/>
  <c r="I180" i="7"/>
  <c r="J182" i="1"/>
  <c r="H180" i="7"/>
  <c r="I182" i="1"/>
  <c r="G180" i="7"/>
  <c r="H182" i="1"/>
  <c r="S179" i="7"/>
  <c r="T181" i="1"/>
  <c r="R179" i="7"/>
  <c r="S181" i="1"/>
  <c r="Q179" i="7"/>
  <c r="R181" i="1"/>
  <c r="P179" i="7"/>
  <c r="Q181" i="1"/>
  <c r="L179" i="7"/>
  <c r="M181" i="1"/>
  <c r="K179" i="7"/>
  <c r="L181" i="1"/>
  <c r="J179" i="7"/>
  <c r="K181" i="1"/>
  <c r="I179" i="7"/>
  <c r="J181" i="1"/>
  <c r="H179" i="7"/>
  <c r="I181" i="1"/>
  <c r="G179" i="7"/>
  <c r="H181" i="1"/>
  <c r="S178" i="7"/>
  <c r="T180" i="1"/>
  <c r="R178" i="7"/>
  <c r="S180" i="1"/>
  <c r="Q178" i="7"/>
  <c r="R180" i="1"/>
  <c r="P178" i="7"/>
  <c r="Q180" i="1"/>
  <c r="L178" i="7"/>
  <c r="M180" i="1"/>
  <c r="K178" i="7"/>
  <c r="L180" i="1"/>
  <c r="J178" i="7"/>
  <c r="K180" i="1"/>
  <c r="I178" i="7"/>
  <c r="J180" i="1"/>
  <c r="H178" i="7"/>
  <c r="I180" i="1"/>
  <c r="G178" i="7"/>
  <c r="H180" i="1"/>
  <c r="S177" i="7"/>
  <c r="T179" i="1"/>
  <c r="R177" i="7"/>
  <c r="S179" i="1"/>
  <c r="Q177" i="7"/>
  <c r="R179" i="1"/>
  <c r="P177" i="7"/>
  <c r="Q179" i="1"/>
  <c r="L177" i="7"/>
  <c r="M179" i="1"/>
  <c r="K177" i="7"/>
  <c r="L179" i="1"/>
  <c r="J177" i="7"/>
  <c r="K179" i="1"/>
  <c r="I177" i="7"/>
  <c r="J179" i="1"/>
  <c r="H177" i="7"/>
  <c r="I179" i="1"/>
  <c r="G177" i="7"/>
  <c r="H179" i="1"/>
  <c r="S176" i="7"/>
  <c r="T178" i="1"/>
  <c r="R176" i="7"/>
  <c r="S178" i="1"/>
  <c r="Q176" i="7"/>
  <c r="R178" i="1"/>
  <c r="P176" i="7"/>
  <c r="Q178" i="1"/>
  <c r="L176" i="7"/>
  <c r="M178" i="1"/>
  <c r="K176" i="7"/>
  <c r="L178" i="1"/>
  <c r="J176" i="7"/>
  <c r="K178" i="1"/>
  <c r="I176" i="7"/>
  <c r="J178" i="1"/>
  <c r="H176" i="7"/>
  <c r="I178" i="1"/>
  <c r="G176" i="7"/>
  <c r="H178" i="1"/>
  <c r="S175" i="7"/>
  <c r="T177" i="1"/>
  <c r="R175" i="7"/>
  <c r="S177" i="1"/>
  <c r="Q175" i="7"/>
  <c r="R177" i="1"/>
  <c r="P175" i="7"/>
  <c r="Q177" i="1"/>
  <c r="L175" i="7"/>
  <c r="M177" i="1"/>
  <c r="K175" i="7"/>
  <c r="L177" i="1"/>
  <c r="J175" i="7"/>
  <c r="K177" i="1"/>
  <c r="I175" i="7"/>
  <c r="J177" i="1"/>
  <c r="H175" i="7"/>
  <c r="I177" i="1"/>
  <c r="G175" i="7"/>
  <c r="H177" i="1"/>
  <c r="S174" i="7"/>
  <c r="T176" i="1"/>
  <c r="R174" i="7"/>
  <c r="S176" i="1"/>
  <c r="Q174" i="7"/>
  <c r="R176" i="1"/>
  <c r="P174" i="7"/>
  <c r="Q176" i="1"/>
  <c r="L174" i="7"/>
  <c r="M176" i="1"/>
  <c r="K174" i="7"/>
  <c r="L176" i="1"/>
  <c r="J174" i="7"/>
  <c r="K176" i="1"/>
  <c r="I174" i="7"/>
  <c r="J176" i="1"/>
  <c r="H174" i="7"/>
  <c r="I176" i="1"/>
  <c r="G174" i="7"/>
  <c r="H176" i="1"/>
  <c r="S173" i="7"/>
  <c r="T175" i="1"/>
  <c r="R173" i="7"/>
  <c r="S175" i="1"/>
  <c r="Q173" i="7"/>
  <c r="R175" i="1"/>
  <c r="P173" i="7"/>
  <c r="Q175" i="1"/>
  <c r="L173" i="7"/>
  <c r="M175" i="1"/>
  <c r="K173" i="7"/>
  <c r="L175" i="1"/>
  <c r="J173" i="7"/>
  <c r="K175" i="1"/>
  <c r="I173" i="7"/>
  <c r="J175" i="1"/>
  <c r="H173" i="7"/>
  <c r="I175" i="1"/>
  <c r="G173" i="7"/>
  <c r="H175" i="1"/>
  <c r="S172" i="7"/>
  <c r="T174" i="1"/>
  <c r="R172" i="7"/>
  <c r="S174" i="1"/>
  <c r="Q172" i="7"/>
  <c r="R174" i="1"/>
  <c r="P172" i="7"/>
  <c r="Q174" i="1"/>
  <c r="L172" i="7"/>
  <c r="M174" i="1"/>
  <c r="K172" i="7"/>
  <c r="L174" i="1"/>
  <c r="J172" i="7"/>
  <c r="K174" i="1"/>
  <c r="I172" i="7"/>
  <c r="J174" i="1"/>
  <c r="H172" i="7"/>
  <c r="I174" i="1"/>
  <c r="G172" i="7"/>
  <c r="H174" i="1"/>
  <c r="S171" i="7"/>
  <c r="T173" i="1"/>
  <c r="R171" i="7"/>
  <c r="S173" i="1"/>
  <c r="Q171" i="7"/>
  <c r="R173" i="1"/>
  <c r="P171" i="7"/>
  <c r="Q173" i="1"/>
  <c r="L171" i="7"/>
  <c r="M173" i="1"/>
  <c r="K171" i="7"/>
  <c r="L173" i="1"/>
  <c r="J171" i="7"/>
  <c r="K173" i="1"/>
  <c r="I171" i="7"/>
  <c r="J173" i="1"/>
  <c r="H171" i="7"/>
  <c r="I173" i="1"/>
  <c r="G171" i="7"/>
  <c r="H173" i="1"/>
  <c r="S170" i="7"/>
  <c r="T172" i="1"/>
  <c r="R170" i="7"/>
  <c r="S172" i="1"/>
  <c r="Q170" i="7"/>
  <c r="R172" i="1"/>
  <c r="P170" i="7"/>
  <c r="Q172" i="1"/>
  <c r="L170" i="7"/>
  <c r="M172" i="1"/>
  <c r="K170" i="7"/>
  <c r="L172" i="1"/>
  <c r="J170" i="7"/>
  <c r="K172" i="1"/>
  <c r="I170" i="7"/>
  <c r="J172" i="1"/>
  <c r="H170" i="7"/>
  <c r="I172" i="1"/>
  <c r="G170" i="7"/>
  <c r="H172" i="1"/>
  <c r="S169" i="7"/>
  <c r="T171" i="1"/>
  <c r="R169" i="7"/>
  <c r="S171" i="1"/>
  <c r="Q169" i="7"/>
  <c r="R171" i="1"/>
  <c r="P169" i="7"/>
  <c r="Q171" i="1"/>
  <c r="L169" i="7"/>
  <c r="M171" i="1"/>
  <c r="K169" i="7"/>
  <c r="L171" i="1"/>
  <c r="J169" i="7"/>
  <c r="K171" i="1"/>
  <c r="I169" i="7"/>
  <c r="J171" i="1"/>
  <c r="H169" i="7"/>
  <c r="I171" i="1"/>
  <c r="G169" i="7"/>
  <c r="H171" i="1"/>
  <c r="S168" i="7"/>
  <c r="T170" i="1"/>
  <c r="R168" i="7"/>
  <c r="S170" i="1"/>
  <c r="Q168" i="7"/>
  <c r="R170" i="1"/>
  <c r="P168" i="7"/>
  <c r="Q170" i="1"/>
  <c r="L168" i="7"/>
  <c r="M170" i="1"/>
  <c r="K168" i="7"/>
  <c r="L170" i="1"/>
  <c r="J168" i="7"/>
  <c r="K170" i="1"/>
  <c r="I168" i="7"/>
  <c r="J170" i="1"/>
  <c r="H168" i="7"/>
  <c r="I170" i="1"/>
  <c r="G168" i="7"/>
  <c r="H170" i="1"/>
  <c r="S167" i="7"/>
  <c r="T169" i="1"/>
  <c r="R167" i="7"/>
  <c r="S169" i="1"/>
  <c r="Q167" i="7"/>
  <c r="R169" i="1"/>
  <c r="P167" i="7"/>
  <c r="Q169" i="1"/>
  <c r="L167" i="7"/>
  <c r="M169" i="1"/>
  <c r="K167" i="7"/>
  <c r="L169" i="1"/>
  <c r="J167" i="7"/>
  <c r="K169" i="1"/>
  <c r="I167" i="7"/>
  <c r="J169" i="1"/>
  <c r="H167" i="7"/>
  <c r="I169" i="1"/>
  <c r="G167" i="7"/>
  <c r="H169" i="1"/>
  <c r="S166" i="7"/>
  <c r="T168" i="1"/>
  <c r="R166" i="7"/>
  <c r="S168" i="1"/>
  <c r="Q166" i="7"/>
  <c r="R168" i="1"/>
  <c r="P166" i="7"/>
  <c r="Q168" i="1"/>
  <c r="L166" i="7"/>
  <c r="M168" i="1"/>
  <c r="K166" i="7"/>
  <c r="L168" i="1"/>
  <c r="J166" i="7"/>
  <c r="K168" i="1"/>
  <c r="I166" i="7"/>
  <c r="J168" i="1"/>
  <c r="H166" i="7"/>
  <c r="I168" i="1"/>
  <c r="G166" i="7"/>
  <c r="H168" i="1"/>
  <c r="S165" i="7"/>
  <c r="T167" i="1"/>
  <c r="R165" i="7"/>
  <c r="S167" i="1"/>
  <c r="Q165" i="7"/>
  <c r="R167" i="1"/>
  <c r="P165" i="7"/>
  <c r="Q167" i="1"/>
  <c r="L165" i="7"/>
  <c r="M167" i="1"/>
  <c r="K165" i="7"/>
  <c r="L167" i="1"/>
  <c r="J165" i="7"/>
  <c r="K167" i="1"/>
  <c r="I165" i="7"/>
  <c r="J167" i="1"/>
  <c r="H165" i="7"/>
  <c r="I167" i="1"/>
  <c r="G165" i="7"/>
  <c r="H167" i="1"/>
  <c r="S164" i="7"/>
  <c r="T166" i="1"/>
  <c r="R164" i="7"/>
  <c r="S166" i="1"/>
  <c r="Q164" i="7"/>
  <c r="R166" i="1"/>
  <c r="P164" i="7"/>
  <c r="Q166" i="1"/>
  <c r="L164" i="7"/>
  <c r="M166" i="1"/>
  <c r="K164" i="7"/>
  <c r="L166" i="1"/>
  <c r="J164" i="7"/>
  <c r="K166" i="1"/>
  <c r="I164" i="7"/>
  <c r="J166" i="1"/>
  <c r="H164" i="7"/>
  <c r="I166" i="1"/>
  <c r="G164" i="7"/>
  <c r="H166" i="1"/>
  <c r="S163" i="7"/>
  <c r="T165" i="1"/>
  <c r="R163" i="7"/>
  <c r="S165" i="1"/>
  <c r="Q163" i="7"/>
  <c r="R165" i="1"/>
  <c r="P163" i="7"/>
  <c r="Q165" i="1"/>
  <c r="L163" i="7"/>
  <c r="M165" i="1"/>
  <c r="K163" i="7"/>
  <c r="L165" i="1"/>
  <c r="J163" i="7"/>
  <c r="K165" i="1"/>
  <c r="I163" i="7"/>
  <c r="J165" i="1"/>
  <c r="H163" i="7"/>
  <c r="I165" i="1"/>
  <c r="G163" i="7"/>
  <c r="H165" i="1"/>
  <c r="S162" i="7"/>
  <c r="T164" i="1"/>
  <c r="R162" i="7"/>
  <c r="S164" i="1"/>
  <c r="Q162" i="7"/>
  <c r="R164" i="1"/>
  <c r="P162" i="7"/>
  <c r="Q164" i="1"/>
  <c r="L162" i="7"/>
  <c r="M164" i="1"/>
  <c r="K162" i="7"/>
  <c r="L164" i="1"/>
  <c r="J162" i="7"/>
  <c r="K164" i="1"/>
  <c r="I162" i="7"/>
  <c r="J164" i="1"/>
  <c r="H162" i="7"/>
  <c r="I164" i="1"/>
  <c r="G162" i="7"/>
  <c r="H164" i="1"/>
  <c r="S161" i="7"/>
  <c r="T163" i="1"/>
  <c r="R161" i="7"/>
  <c r="S163" i="1"/>
  <c r="Q161" i="7"/>
  <c r="R163" i="1"/>
  <c r="P161" i="7"/>
  <c r="Q163" i="1"/>
  <c r="L161" i="7"/>
  <c r="M163" i="1"/>
  <c r="K161" i="7"/>
  <c r="L163" i="1"/>
  <c r="J161" i="7"/>
  <c r="K163" i="1"/>
  <c r="I161" i="7"/>
  <c r="J163" i="1"/>
  <c r="H161" i="7"/>
  <c r="I163" i="1"/>
  <c r="G161" i="7"/>
  <c r="H163" i="1"/>
  <c r="S160" i="7"/>
  <c r="T162" i="1"/>
  <c r="R160" i="7"/>
  <c r="S162" i="1"/>
  <c r="Q160" i="7"/>
  <c r="R162" i="1"/>
  <c r="P160" i="7"/>
  <c r="Q162" i="1"/>
  <c r="L160" i="7"/>
  <c r="M162" i="1"/>
  <c r="K160" i="7"/>
  <c r="L162" i="1"/>
  <c r="J160" i="7"/>
  <c r="K162" i="1"/>
  <c r="I160" i="7"/>
  <c r="J162" i="1"/>
  <c r="H160" i="7"/>
  <c r="I162" i="1"/>
  <c r="G160" i="7"/>
  <c r="H162" i="1"/>
  <c r="S159" i="7"/>
  <c r="T161" i="1"/>
  <c r="R159" i="7"/>
  <c r="S161" i="1"/>
  <c r="Q159" i="7"/>
  <c r="R161" i="1"/>
  <c r="P159" i="7"/>
  <c r="Q161" i="1"/>
  <c r="L159" i="7"/>
  <c r="M161" i="1"/>
  <c r="K159" i="7"/>
  <c r="L161" i="1"/>
  <c r="J159" i="7"/>
  <c r="K161" i="1"/>
  <c r="I159" i="7"/>
  <c r="J161" i="1"/>
  <c r="H159" i="7"/>
  <c r="I161" i="1"/>
  <c r="G159" i="7"/>
  <c r="H161" i="1"/>
  <c r="S158" i="7"/>
  <c r="T160" i="1"/>
  <c r="R158" i="7"/>
  <c r="S160" i="1"/>
  <c r="Q158" i="7"/>
  <c r="R160" i="1"/>
  <c r="P158" i="7"/>
  <c r="Q160" i="1"/>
  <c r="L158" i="7"/>
  <c r="M160" i="1"/>
  <c r="K158" i="7"/>
  <c r="L160" i="1"/>
  <c r="J158" i="7"/>
  <c r="K160" i="1"/>
  <c r="I158" i="7"/>
  <c r="J160" i="1"/>
  <c r="H158" i="7"/>
  <c r="I160" i="1"/>
  <c r="G158" i="7"/>
  <c r="H160" i="1"/>
  <c r="S157" i="7"/>
  <c r="T159" i="1"/>
  <c r="R157" i="7"/>
  <c r="S159" i="1"/>
  <c r="Q157" i="7"/>
  <c r="R159" i="1"/>
  <c r="P157" i="7"/>
  <c r="Q159" i="1"/>
  <c r="L157" i="7"/>
  <c r="M159" i="1"/>
  <c r="K157" i="7"/>
  <c r="L159" i="1"/>
  <c r="J157" i="7"/>
  <c r="K159" i="1"/>
  <c r="I157" i="7"/>
  <c r="J159" i="1"/>
  <c r="H157" i="7"/>
  <c r="I159" i="1"/>
  <c r="G157" i="7"/>
  <c r="H159" i="1"/>
  <c r="S156" i="7"/>
  <c r="T158" i="1"/>
  <c r="R156" i="7"/>
  <c r="S158" i="1"/>
  <c r="Q156" i="7"/>
  <c r="R158" i="1"/>
  <c r="P156" i="7"/>
  <c r="Q158" i="1"/>
  <c r="L156" i="7"/>
  <c r="M158" i="1"/>
  <c r="K156" i="7"/>
  <c r="L158" i="1"/>
  <c r="J156" i="7"/>
  <c r="K158" i="1"/>
  <c r="I156" i="7"/>
  <c r="J158" i="1"/>
  <c r="H156" i="7"/>
  <c r="I158" i="1"/>
  <c r="G156" i="7"/>
  <c r="H158" i="1"/>
  <c r="S155" i="7"/>
  <c r="T157" i="1"/>
  <c r="R155" i="7"/>
  <c r="S157" i="1"/>
  <c r="Q155" i="7"/>
  <c r="R157" i="1"/>
  <c r="P155" i="7"/>
  <c r="Q157" i="1"/>
  <c r="L155" i="7"/>
  <c r="M157" i="1"/>
  <c r="K155" i="7"/>
  <c r="L157" i="1"/>
  <c r="J155" i="7"/>
  <c r="K157" i="1"/>
  <c r="I155" i="7"/>
  <c r="J157" i="1"/>
  <c r="H155" i="7"/>
  <c r="I157" i="1"/>
  <c r="G155" i="7"/>
  <c r="H157" i="1"/>
  <c r="S154" i="7"/>
  <c r="T156" i="1"/>
  <c r="R154" i="7"/>
  <c r="S156" i="1"/>
  <c r="Q154" i="7"/>
  <c r="R156" i="1"/>
  <c r="P154" i="7"/>
  <c r="Q156" i="1"/>
  <c r="L154" i="7"/>
  <c r="M156" i="1"/>
  <c r="K154" i="7"/>
  <c r="L156" i="1"/>
  <c r="J154" i="7"/>
  <c r="K156" i="1"/>
  <c r="I154" i="7"/>
  <c r="J156" i="1"/>
  <c r="H154" i="7"/>
  <c r="I156" i="1"/>
  <c r="G154" i="7"/>
  <c r="H156" i="1"/>
  <c r="S153" i="7"/>
  <c r="T155" i="1"/>
  <c r="R153" i="7"/>
  <c r="S155" i="1"/>
  <c r="Q153" i="7"/>
  <c r="R155" i="1"/>
  <c r="P153" i="7"/>
  <c r="Q155" i="1"/>
  <c r="L153" i="7"/>
  <c r="M155" i="1"/>
  <c r="K153" i="7"/>
  <c r="L155" i="1"/>
  <c r="J153" i="7"/>
  <c r="K155" i="1"/>
  <c r="I153" i="7"/>
  <c r="J155" i="1"/>
  <c r="H153" i="7"/>
  <c r="I155" i="1"/>
  <c r="G153" i="7"/>
  <c r="H155" i="1"/>
  <c r="S152" i="7"/>
  <c r="T154" i="1"/>
  <c r="R152" i="7"/>
  <c r="S154" i="1"/>
  <c r="Q152" i="7"/>
  <c r="R154" i="1"/>
  <c r="P152" i="7"/>
  <c r="Q154" i="1"/>
  <c r="L152" i="7"/>
  <c r="M154" i="1"/>
  <c r="K152" i="7"/>
  <c r="L154" i="1"/>
  <c r="J152" i="7"/>
  <c r="K154" i="1"/>
  <c r="I152" i="7"/>
  <c r="J154" i="1"/>
  <c r="H152" i="7"/>
  <c r="I154" i="1"/>
  <c r="G152" i="7"/>
  <c r="H154" i="1"/>
  <c r="S151" i="7"/>
  <c r="T153" i="1"/>
  <c r="R151" i="7"/>
  <c r="S153" i="1"/>
  <c r="Q151" i="7"/>
  <c r="R153" i="1"/>
  <c r="P151" i="7"/>
  <c r="Q153" i="1"/>
  <c r="L151" i="7"/>
  <c r="M153" i="1"/>
  <c r="K151" i="7"/>
  <c r="L153" i="1"/>
  <c r="J151" i="7"/>
  <c r="K153" i="1"/>
  <c r="I151" i="7"/>
  <c r="J153" i="1"/>
  <c r="H151" i="7"/>
  <c r="I153" i="1"/>
  <c r="G151" i="7"/>
  <c r="H153" i="1"/>
  <c r="S150" i="7"/>
  <c r="T152" i="1"/>
  <c r="R150" i="7"/>
  <c r="S152" i="1"/>
  <c r="Q150" i="7"/>
  <c r="R152" i="1"/>
  <c r="P150" i="7"/>
  <c r="Q152" i="1"/>
  <c r="L150" i="7"/>
  <c r="M152" i="1"/>
  <c r="K150" i="7"/>
  <c r="L152" i="1"/>
  <c r="J150" i="7"/>
  <c r="K152" i="1"/>
  <c r="I150" i="7"/>
  <c r="J152" i="1"/>
  <c r="H150" i="7"/>
  <c r="I152" i="1"/>
  <c r="G150" i="7"/>
  <c r="H152" i="1"/>
  <c r="S149" i="7"/>
  <c r="T151" i="1"/>
  <c r="R149" i="7"/>
  <c r="S151" i="1"/>
  <c r="Q149" i="7"/>
  <c r="R151" i="1"/>
  <c r="P149" i="7"/>
  <c r="Q151" i="1"/>
  <c r="L149" i="7"/>
  <c r="M151" i="1"/>
  <c r="K149" i="7"/>
  <c r="L151" i="1"/>
  <c r="J149" i="7"/>
  <c r="K151" i="1"/>
  <c r="I149" i="7"/>
  <c r="J151" i="1"/>
  <c r="H149" i="7"/>
  <c r="I151" i="1"/>
  <c r="G149" i="7"/>
  <c r="H151" i="1"/>
  <c r="S148" i="7"/>
  <c r="T150" i="1"/>
  <c r="R148" i="7"/>
  <c r="S150" i="1"/>
  <c r="Q148" i="7"/>
  <c r="R150" i="1"/>
  <c r="P148" i="7"/>
  <c r="Q150" i="1"/>
  <c r="L148" i="7"/>
  <c r="M150" i="1"/>
  <c r="K148" i="7"/>
  <c r="L150" i="1"/>
  <c r="J148" i="7"/>
  <c r="K150" i="1"/>
  <c r="I148" i="7"/>
  <c r="J150" i="1"/>
  <c r="H148" i="7"/>
  <c r="I150" i="1"/>
  <c r="G148" i="7"/>
  <c r="H150" i="1"/>
  <c r="S147" i="7"/>
  <c r="T149" i="1"/>
  <c r="R147" i="7"/>
  <c r="S149" i="1"/>
  <c r="Q147" i="7"/>
  <c r="R149" i="1"/>
  <c r="P147" i="7"/>
  <c r="Q149" i="1"/>
  <c r="L147" i="7"/>
  <c r="M149" i="1"/>
  <c r="K147" i="7"/>
  <c r="L149" i="1"/>
  <c r="J147" i="7"/>
  <c r="K149" i="1"/>
  <c r="I147" i="7"/>
  <c r="J149" i="1"/>
  <c r="H147" i="7"/>
  <c r="I149" i="1"/>
  <c r="G147" i="7"/>
  <c r="H149" i="1"/>
  <c r="S146" i="7"/>
  <c r="T148" i="1"/>
  <c r="R146" i="7"/>
  <c r="S148" i="1"/>
  <c r="Q146" i="7"/>
  <c r="R148" i="1"/>
  <c r="P146" i="7"/>
  <c r="Q148" i="1"/>
  <c r="L146" i="7"/>
  <c r="M148" i="1"/>
  <c r="K146" i="7"/>
  <c r="L148" i="1"/>
  <c r="J146" i="7"/>
  <c r="K148" i="1"/>
  <c r="I146" i="7"/>
  <c r="J148" i="1"/>
  <c r="H146" i="7"/>
  <c r="I148" i="1"/>
  <c r="G146" i="7"/>
  <c r="H148" i="1"/>
  <c r="S145" i="7"/>
  <c r="T147" i="1"/>
  <c r="R145" i="7"/>
  <c r="S147" i="1"/>
  <c r="Q145" i="7"/>
  <c r="R147" i="1"/>
  <c r="P145" i="7"/>
  <c r="Q147" i="1"/>
  <c r="L145" i="7"/>
  <c r="M147" i="1"/>
  <c r="K145" i="7"/>
  <c r="L147" i="1"/>
  <c r="J145" i="7"/>
  <c r="K147" i="1"/>
  <c r="I145" i="7"/>
  <c r="J147" i="1"/>
  <c r="H145" i="7"/>
  <c r="I147" i="1"/>
  <c r="G145" i="7"/>
  <c r="H147" i="1"/>
  <c r="S144" i="7"/>
  <c r="T146" i="1"/>
  <c r="R144" i="7"/>
  <c r="S146" i="1"/>
  <c r="Q144" i="7"/>
  <c r="R146" i="1"/>
  <c r="P144" i="7"/>
  <c r="Q146" i="1"/>
  <c r="L144" i="7"/>
  <c r="M146" i="1"/>
  <c r="K144" i="7"/>
  <c r="L146" i="1"/>
  <c r="J144" i="7"/>
  <c r="K146" i="1"/>
  <c r="I144" i="7"/>
  <c r="J146" i="1"/>
  <c r="H144" i="7"/>
  <c r="I146" i="1"/>
  <c r="G144" i="7"/>
  <c r="H146" i="1"/>
  <c r="S143" i="7"/>
  <c r="T145" i="1"/>
  <c r="R143" i="7"/>
  <c r="S145" i="1"/>
  <c r="Q143" i="7"/>
  <c r="R145" i="1"/>
  <c r="P143" i="7"/>
  <c r="Q145" i="1"/>
  <c r="L143" i="7"/>
  <c r="M145" i="1"/>
  <c r="K143" i="7"/>
  <c r="L145" i="1"/>
  <c r="J143" i="7"/>
  <c r="K145" i="1"/>
  <c r="I143" i="7"/>
  <c r="J145" i="1"/>
  <c r="H143" i="7"/>
  <c r="I145" i="1"/>
  <c r="G143" i="7"/>
  <c r="H145" i="1"/>
  <c r="S142" i="7"/>
  <c r="T144" i="1"/>
  <c r="R142" i="7"/>
  <c r="S144" i="1"/>
  <c r="Q142" i="7"/>
  <c r="R144" i="1"/>
  <c r="P142" i="7"/>
  <c r="Q144" i="1"/>
  <c r="L142" i="7"/>
  <c r="M144" i="1"/>
  <c r="K142" i="7"/>
  <c r="L144" i="1"/>
  <c r="J142" i="7"/>
  <c r="K144" i="1"/>
  <c r="I142" i="7"/>
  <c r="J144" i="1"/>
  <c r="H142" i="7"/>
  <c r="I144" i="1"/>
  <c r="G142" i="7"/>
  <c r="H144" i="1"/>
  <c r="S141" i="7"/>
  <c r="T143" i="1"/>
  <c r="R141" i="7"/>
  <c r="S143" i="1"/>
  <c r="Q141" i="7"/>
  <c r="R143" i="1"/>
  <c r="P141" i="7"/>
  <c r="Q143" i="1"/>
  <c r="L141" i="7"/>
  <c r="M143" i="1"/>
  <c r="K141" i="7"/>
  <c r="L143" i="1"/>
  <c r="J141" i="7"/>
  <c r="K143" i="1"/>
  <c r="I141" i="7"/>
  <c r="J143" i="1"/>
  <c r="H141" i="7"/>
  <c r="I143" i="1"/>
  <c r="G141" i="7"/>
  <c r="H143" i="1"/>
  <c r="S140" i="7"/>
  <c r="T142" i="1"/>
  <c r="R140" i="7"/>
  <c r="S142" i="1"/>
  <c r="Q140" i="7"/>
  <c r="R142" i="1"/>
  <c r="P140" i="7"/>
  <c r="Q142" i="1"/>
  <c r="L140" i="7"/>
  <c r="M142" i="1"/>
  <c r="K140" i="7"/>
  <c r="L142" i="1"/>
  <c r="J140" i="7"/>
  <c r="K142" i="1"/>
  <c r="I140" i="7"/>
  <c r="J142" i="1"/>
  <c r="H140" i="7"/>
  <c r="I142" i="1"/>
  <c r="G140" i="7"/>
  <c r="H142" i="1"/>
  <c r="S139" i="7"/>
  <c r="T141" i="1"/>
  <c r="R139" i="7"/>
  <c r="S141" i="1"/>
  <c r="Q139" i="7"/>
  <c r="R141" i="1"/>
  <c r="P139" i="7"/>
  <c r="Q141" i="1"/>
  <c r="L139" i="7"/>
  <c r="M141" i="1"/>
  <c r="K139" i="7"/>
  <c r="L141" i="1"/>
  <c r="J139" i="7"/>
  <c r="K141" i="1"/>
  <c r="I139" i="7"/>
  <c r="J141" i="1"/>
  <c r="H139" i="7"/>
  <c r="I141" i="1"/>
  <c r="G139" i="7"/>
  <c r="H141" i="1"/>
  <c r="S138" i="7"/>
  <c r="T140" i="1"/>
  <c r="R138" i="7"/>
  <c r="S140" i="1"/>
  <c r="Q138" i="7"/>
  <c r="R140" i="1"/>
  <c r="P138" i="7"/>
  <c r="Q140" i="1"/>
  <c r="L138" i="7"/>
  <c r="M140" i="1"/>
  <c r="K138" i="7"/>
  <c r="L140" i="1"/>
  <c r="J138" i="7"/>
  <c r="K140" i="1"/>
  <c r="I138" i="7"/>
  <c r="J140" i="1"/>
  <c r="H138" i="7"/>
  <c r="I140" i="1"/>
  <c r="G138" i="7"/>
  <c r="H140" i="1"/>
  <c r="S137" i="7"/>
  <c r="T139" i="1"/>
  <c r="R137" i="7"/>
  <c r="S139" i="1"/>
  <c r="Q137" i="7"/>
  <c r="R139" i="1"/>
  <c r="P137" i="7"/>
  <c r="Q139" i="1"/>
  <c r="L137" i="7"/>
  <c r="M139" i="1"/>
  <c r="K137" i="7"/>
  <c r="L139" i="1"/>
  <c r="J137" i="7"/>
  <c r="K139" i="1"/>
  <c r="I137" i="7"/>
  <c r="J139" i="1"/>
  <c r="H137" i="7"/>
  <c r="I139" i="1"/>
  <c r="G137" i="7"/>
  <c r="H139" i="1"/>
  <c r="S136" i="7"/>
  <c r="T138" i="1"/>
  <c r="R136" i="7"/>
  <c r="S138" i="1"/>
  <c r="Q136" i="7"/>
  <c r="R138" i="1"/>
  <c r="P136" i="7"/>
  <c r="Q138" i="1"/>
  <c r="L136" i="7"/>
  <c r="M138" i="1"/>
  <c r="K136" i="7"/>
  <c r="L138" i="1"/>
  <c r="J136" i="7"/>
  <c r="K138" i="1"/>
  <c r="I136" i="7"/>
  <c r="J138" i="1"/>
  <c r="H136" i="7"/>
  <c r="I138" i="1"/>
  <c r="G136" i="7"/>
  <c r="H138" i="1"/>
  <c r="S135" i="7"/>
  <c r="T137" i="1"/>
  <c r="R135" i="7"/>
  <c r="S137" i="1"/>
  <c r="Q135" i="7"/>
  <c r="R137" i="1"/>
  <c r="P135" i="7"/>
  <c r="Q137" i="1"/>
  <c r="L135" i="7"/>
  <c r="M137" i="1"/>
  <c r="K135" i="7"/>
  <c r="L137" i="1"/>
  <c r="J135" i="7"/>
  <c r="K137" i="1"/>
  <c r="I135" i="7"/>
  <c r="J137" i="1"/>
  <c r="H135" i="7"/>
  <c r="I137" i="1"/>
  <c r="G135" i="7"/>
  <c r="H137" i="1"/>
  <c r="S134" i="7"/>
  <c r="T136" i="1"/>
  <c r="R134" i="7"/>
  <c r="S136" i="1"/>
  <c r="Q134" i="7"/>
  <c r="R136" i="1"/>
  <c r="P134" i="7"/>
  <c r="Q136" i="1"/>
  <c r="L134" i="7"/>
  <c r="M136" i="1"/>
  <c r="K134" i="7"/>
  <c r="L136" i="1"/>
  <c r="J134" i="7"/>
  <c r="K136" i="1"/>
  <c r="I134" i="7"/>
  <c r="J136" i="1"/>
  <c r="H134" i="7"/>
  <c r="I136" i="1"/>
  <c r="G134" i="7"/>
  <c r="H136" i="1"/>
  <c r="S133" i="7"/>
  <c r="T135" i="1"/>
  <c r="R133" i="7"/>
  <c r="S135" i="1"/>
  <c r="Q133" i="7"/>
  <c r="R135" i="1"/>
  <c r="P133" i="7"/>
  <c r="Q135" i="1"/>
  <c r="L133" i="7"/>
  <c r="M135" i="1"/>
  <c r="K133" i="7"/>
  <c r="L135" i="1"/>
  <c r="J133" i="7"/>
  <c r="K135" i="1"/>
  <c r="I133" i="7"/>
  <c r="J135" i="1"/>
  <c r="H133" i="7"/>
  <c r="I135" i="1"/>
  <c r="G133" i="7"/>
  <c r="H135" i="1"/>
  <c r="S132" i="7"/>
  <c r="T134" i="1"/>
  <c r="R132" i="7"/>
  <c r="S134" i="1"/>
  <c r="Q132" i="7"/>
  <c r="R134" i="1"/>
  <c r="P132" i="7"/>
  <c r="Q134" i="1"/>
  <c r="L132" i="7"/>
  <c r="M134" i="1"/>
  <c r="K132" i="7"/>
  <c r="L134" i="1"/>
  <c r="J132" i="7"/>
  <c r="K134" i="1"/>
  <c r="I132" i="7"/>
  <c r="J134" i="1"/>
  <c r="H132" i="7"/>
  <c r="I134" i="1"/>
  <c r="G132" i="7"/>
  <c r="H134" i="1"/>
  <c r="S131" i="7"/>
  <c r="T133" i="1"/>
  <c r="R131" i="7"/>
  <c r="S133" i="1"/>
  <c r="Q131" i="7"/>
  <c r="R133" i="1"/>
  <c r="P131" i="7"/>
  <c r="Q133" i="1"/>
  <c r="L131" i="7"/>
  <c r="M133" i="1"/>
  <c r="K131" i="7"/>
  <c r="L133" i="1"/>
  <c r="J131" i="7"/>
  <c r="K133" i="1"/>
  <c r="I131" i="7"/>
  <c r="J133" i="1"/>
  <c r="H131" i="7"/>
  <c r="I133" i="1"/>
  <c r="G131" i="7"/>
  <c r="H133" i="1"/>
  <c r="S130" i="7"/>
  <c r="T132" i="1"/>
  <c r="R130" i="7"/>
  <c r="S132" i="1"/>
  <c r="Q130" i="7"/>
  <c r="R132" i="1"/>
  <c r="P130" i="7"/>
  <c r="Q132" i="1"/>
  <c r="L130" i="7"/>
  <c r="M132" i="1"/>
  <c r="K130" i="7"/>
  <c r="L132" i="1"/>
  <c r="J130" i="7"/>
  <c r="K132" i="1"/>
  <c r="I130" i="7"/>
  <c r="J132" i="1"/>
  <c r="H130" i="7"/>
  <c r="I132" i="1"/>
  <c r="G130" i="7"/>
  <c r="H132" i="1"/>
  <c r="S129" i="7"/>
  <c r="T131" i="1"/>
  <c r="R129" i="7"/>
  <c r="S131" i="1"/>
  <c r="Q129" i="7"/>
  <c r="R131" i="1"/>
  <c r="P129" i="7"/>
  <c r="Q131" i="1"/>
  <c r="L129" i="7"/>
  <c r="M131" i="1"/>
  <c r="K129" i="7"/>
  <c r="L131" i="1"/>
  <c r="J129" i="7"/>
  <c r="K131" i="1"/>
  <c r="I129" i="7"/>
  <c r="J131" i="1"/>
  <c r="H129" i="7"/>
  <c r="I131" i="1"/>
  <c r="G129" i="7"/>
  <c r="H131" i="1"/>
  <c r="S128" i="7"/>
  <c r="T130" i="1"/>
  <c r="R128" i="7"/>
  <c r="S130" i="1"/>
  <c r="Q128" i="7"/>
  <c r="R130" i="1"/>
  <c r="P128" i="7"/>
  <c r="Q130" i="1"/>
  <c r="L128" i="7"/>
  <c r="M130" i="1"/>
  <c r="K128" i="7"/>
  <c r="L130" i="1"/>
  <c r="J128" i="7"/>
  <c r="K130" i="1"/>
  <c r="I128" i="7"/>
  <c r="J130" i="1"/>
  <c r="H128" i="7"/>
  <c r="I130" i="1"/>
  <c r="G128" i="7"/>
  <c r="H130" i="1"/>
  <c r="S127" i="7"/>
  <c r="T129" i="1"/>
  <c r="R127" i="7"/>
  <c r="S129" i="1"/>
  <c r="Q127" i="7"/>
  <c r="R129" i="1"/>
  <c r="P127" i="7"/>
  <c r="Q129" i="1"/>
  <c r="L127" i="7"/>
  <c r="M129" i="1"/>
  <c r="K127" i="7"/>
  <c r="L129" i="1"/>
  <c r="J127" i="7"/>
  <c r="K129" i="1"/>
  <c r="I127" i="7"/>
  <c r="J129" i="1"/>
  <c r="H127" i="7"/>
  <c r="I129" i="1"/>
  <c r="G127" i="7"/>
  <c r="H129" i="1"/>
  <c r="S126" i="7"/>
  <c r="T128" i="1"/>
  <c r="R126" i="7"/>
  <c r="S128" i="1"/>
  <c r="Q126" i="7"/>
  <c r="R128" i="1"/>
  <c r="P126" i="7"/>
  <c r="Q128" i="1"/>
  <c r="L126" i="7"/>
  <c r="M128" i="1"/>
  <c r="K126" i="7"/>
  <c r="L128" i="1"/>
  <c r="J126" i="7"/>
  <c r="K128" i="1"/>
  <c r="I126" i="7"/>
  <c r="J128" i="1"/>
  <c r="H126" i="7"/>
  <c r="I128" i="1"/>
  <c r="G126" i="7"/>
  <c r="H128" i="1"/>
  <c r="S125" i="7"/>
  <c r="T127" i="1"/>
  <c r="R125" i="7"/>
  <c r="S127" i="1"/>
  <c r="Q125" i="7"/>
  <c r="R127" i="1"/>
  <c r="P125" i="7"/>
  <c r="Q127" i="1"/>
  <c r="L125" i="7"/>
  <c r="M127" i="1"/>
  <c r="K125" i="7"/>
  <c r="L127" i="1"/>
  <c r="J125" i="7"/>
  <c r="K127" i="1"/>
  <c r="I125" i="7"/>
  <c r="J127" i="1"/>
  <c r="H125" i="7"/>
  <c r="I127" i="1"/>
  <c r="G125" i="7"/>
  <c r="H127" i="1"/>
  <c r="S124" i="7"/>
  <c r="T126" i="1"/>
  <c r="R124" i="7"/>
  <c r="S126" i="1"/>
  <c r="Q124" i="7"/>
  <c r="R126" i="1"/>
  <c r="P124" i="7"/>
  <c r="Q126" i="1"/>
  <c r="L124" i="7"/>
  <c r="M126" i="1"/>
  <c r="K124" i="7"/>
  <c r="L126" i="1"/>
  <c r="J124" i="7"/>
  <c r="K126" i="1"/>
  <c r="I124" i="7"/>
  <c r="J126" i="1"/>
  <c r="H124" i="7"/>
  <c r="I126" i="1"/>
  <c r="G124" i="7"/>
  <c r="H126" i="1"/>
  <c r="S123" i="7"/>
  <c r="T125" i="1"/>
  <c r="R123" i="7"/>
  <c r="S125" i="1"/>
  <c r="Q123" i="7"/>
  <c r="R125" i="1"/>
  <c r="P123" i="7"/>
  <c r="Q125" i="1"/>
  <c r="L123" i="7"/>
  <c r="M125" i="1"/>
  <c r="K123" i="7"/>
  <c r="L125" i="1"/>
  <c r="J123" i="7"/>
  <c r="K125" i="1"/>
  <c r="I123" i="7"/>
  <c r="J125" i="1"/>
  <c r="H123" i="7"/>
  <c r="I125" i="1"/>
  <c r="G123" i="7"/>
  <c r="H125" i="1"/>
  <c r="S122" i="7"/>
  <c r="T124" i="1"/>
  <c r="R122" i="7"/>
  <c r="S124" i="1"/>
  <c r="Q122" i="7"/>
  <c r="R124" i="1"/>
  <c r="P122" i="7"/>
  <c r="Q124" i="1"/>
  <c r="L122" i="7"/>
  <c r="M124" i="1"/>
  <c r="K122" i="7"/>
  <c r="L124" i="1"/>
  <c r="J122" i="7"/>
  <c r="K124" i="1"/>
  <c r="I122" i="7"/>
  <c r="J124" i="1"/>
  <c r="H122" i="7"/>
  <c r="I124" i="1"/>
  <c r="G122" i="7"/>
  <c r="H124" i="1"/>
  <c r="S121" i="7"/>
  <c r="T123" i="1"/>
  <c r="R121" i="7"/>
  <c r="S123" i="1"/>
  <c r="Q121" i="7"/>
  <c r="R123" i="1"/>
  <c r="P121" i="7"/>
  <c r="Q123" i="1"/>
  <c r="L121" i="7"/>
  <c r="M123" i="1"/>
  <c r="K121" i="7"/>
  <c r="L123" i="1"/>
  <c r="J121" i="7"/>
  <c r="K123" i="1"/>
  <c r="I121" i="7"/>
  <c r="J123" i="1"/>
  <c r="H121" i="7"/>
  <c r="I123" i="1"/>
  <c r="G121" i="7"/>
  <c r="H123" i="1"/>
  <c r="S120" i="7"/>
  <c r="T122" i="1"/>
  <c r="R120" i="7"/>
  <c r="S122" i="1"/>
  <c r="Q120" i="7"/>
  <c r="R122" i="1"/>
  <c r="P120" i="7"/>
  <c r="Q122" i="1"/>
  <c r="L120" i="7"/>
  <c r="M122" i="1"/>
  <c r="K120" i="7"/>
  <c r="L122" i="1"/>
  <c r="J120" i="7"/>
  <c r="K122" i="1"/>
  <c r="I120" i="7"/>
  <c r="J122" i="1"/>
  <c r="H120" i="7"/>
  <c r="I122" i="1"/>
  <c r="G120" i="7"/>
  <c r="H122" i="1"/>
  <c r="S119" i="7"/>
  <c r="T121" i="1"/>
  <c r="R119" i="7"/>
  <c r="S121" i="1"/>
  <c r="Q119" i="7"/>
  <c r="R121" i="1"/>
  <c r="P119" i="7"/>
  <c r="Q121" i="1"/>
  <c r="L119" i="7"/>
  <c r="M121" i="1"/>
  <c r="K119" i="7"/>
  <c r="L121" i="1"/>
  <c r="J119" i="7"/>
  <c r="K121" i="1"/>
  <c r="I119" i="7"/>
  <c r="J121" i="1"/>
  <c r="H119" i="7"/>
  <c r="I121" i="1"/>
  <c r="G119" i="7"/>
  <c r="H121" i="1"/>
  <c r="S118" i="7"/>
  <c r="T120" i="1"/>
  <c r="R118" i="7"/>
  <c r="S120" i="1"/>
  <c r="Q118" i="7"/>
  <c r="R120" i="1"/>
  <c r="P118" i="7"/>
  <c r="Q120" i="1"/>
  <c r="L118" i="7"/>
  <c r="M120" i="1"/>
  <c r="K118" i="7"/>
  <c r="L120" i="1"/>
  <c r="J118" i="7"/>
  <c r="K120" i="1"/>
  <c r="I118" i="7"/>
  <c r="J120" i="1"/>
  <c r="H118" i="7"/>
  <c r="I120" i="1"/>
  <c r="G118" i="7"/>
  <c r="H120" i="1"/>
  <c r="S117" i="7"/>
  <c r="T119" i="1"/>
  <c r="R117" i="7"/>
  <c r="S119" i="1"/>
  <c r="Q117" i="7"/>
  <c r="R119" i="1"/>
  <c r="P117" i="7"/>
  <c r="Q119" i="1"/>
  <c r="L117" i="7"/>
  <c r="M119" i="1"/>
  <c r="K117" i="7"/>
  <c r="L119" i="1"/>
  <c r="J117" i="7"/>
  <c r="K119" i="1"/>
  <c r="I117" i="7"/>
  <c r="J119" i="1"/>
  <c r="H117" i="7"/>
  <c r="I119" i="1"/>
  <c r="G117" i="7"/>
  <c r="H119" i="1"/>
  <c r="S116" i="7"/>
  <c r="T118" i="1"/>
  <c r="R116" i="7"/>
  <c r="S118" i="1"/>
  <c r="Q116" i="7"/>
  <c r="R118" i="1"/>
  <c r="P116" i="7"/>
  <c r="Q118" i="1"/>
  <c r="L116" i="7"/>
  <c r="M118" i="1"/>
  <c r="K116" i="7"/>
  <c r="L118" i="1"/>
  <c r="J116" i="7"/>
  <c r="K118" i="1"/>
  <c r="I116" i="7"/>
  <c r="J118" i="1"/>
  <c r="H116" i="7"/>
  <c r="I118" i="1"/>
  <c r="G116" i="7"/>
  <c r="H118" i="1"/>
  <c r="S115" i="7"/>
  <c r="T117" i="1"/>
  <c r="R115" i="7"/>
  <c r="S117" i="1"/>
  <c r="Q115" i="7"/>
  <c r="R117" i="1"/>
  <c r="P115" i="7"/>
  <c r="Q117" i="1"/>
  <c r="L115" i="7"/>
  <c r="M117" i="1"/>
  <c r="K115" i="7"/>
  <c r="L117" i="1"/>
  <c r="J115" i="7"/>
  <c r="K117" i="1"/>
  <c r="I115" i="7"/>
  <c r="J117" i="1"/>
  <c r="H115" i="7"/>
  <c r="I117" i="1"/>
  <c r="G115" i="7"/>
  <c r="H117" i="1"/>
  <c r="S114" i="7"/>
  <c r="T116" i="1"/>
  <c r="R114" i="7"/>
  <c r="S116" i="1"/>
  <c r="Q114" i="7"/>
  <c r="R116" i="1"/>
  <c r="P114" i="7"/>
  <c r="Q116" i="1"/>
  <c r="L114" i="7"/>
  <c r="M116" i="1"/>
  <c r="K114" i="7"/>
  <c r="L116" i="1"/>
  <c r="J114" i="7"/>
  <c r="K116" i="1"/>
  <c r="I114" i="7"/>
  <c r="J116" i="1"/>
  <c r="H114" i="7"/>
  <c r="I116" i="1"/>
  <c r="G114" i="7"/>
  <c r="H116" i="1"/>
  <c r="S113" i="7"/>
  <c r="T115" i="1"/>
  <c r="R113" i="7"/>
  <c r="S115" i="1"/>
  <c r="Q113" i="7"/>
  <c r="R115" i="1"/>
  <c r="P113" i="7"/>
  <c r="Q115" i="1"/>
  <c r="L113" i="7"/>
  <c r="M115" i="1"/>
  <c r="K113" i="7"/>
  <c r="L115" i="1"/>
  <c r="J113" i="7"/>
  <c r="K115" i="1"/>
  <c r="I113" i="7"/>
  <c r="J115" i="1"/>
  <c r="H113" i="7"/>
  <c r="I115" i="1"/>
  <c r="G113" i="7"/>
  <c r="H115" i="1"/>
  <c r="S112" i="7"/>
  <c r="T114" i="1"/>
  <c r="R112" i="7"/>
  <c r="S114" i="1"/>
  <c r="Q112" i="7"/>
  <c r="R114" i="1"/>
  <c r="P112" i="7"/>
  <c r="Q114" i="1"/>
  <c r="L112" i="7"/>
  <c r="M114" i="1"/>
  <c r="K112" i="7"/>
  <c r="L114" i="1"/>
  <c r="J112" i="7"/>
  <c r="K114" i="1"/>
  <c r="I112" i="7"/>
  <c r="J114" i="1"/>
  <c r="H112" i="7"/>
  <c r="I114" i="1"/>
  <c r="G112" i="7"/>
  <c r="H114" i="1"/>
  <c r="S111" i="7"/>
  <c r="T113" i="1"/>
  <c r="R111" i="7"/>
  <c r="S113" i="1"/>
  <c r="Q111" i="7"/>
  <c r="R113" i="1"/>
  <c r="P111" i="7"/>
  <c r="Q113" i="1"/>
  <c r="L111" i="7"/>
  <c r="M113" i="1"/>
  <c r="K111" i="7"/>
  <c r="L113" i="1"/>
  <c r="J111" i="7"/>
  <c r="K113" i="1"/>
  <c r="I111" i="7"/>
  <c r="J113" i="1"/>
  <c r="H111" i="7"/>
  <c r="I113" i="1"/>
  <c r="G111" i="7"/>
  <c r="H113" i="1"/>
  <c r="S110" i="7"/>
  <c r="T112" i="1"/>
  <c r="R110" i="7"/>
  <c r="S112" i="1"/>
  <c r="Q110" i="7"/>
  <c r="R112" i="1"/>
  <c r="P110" i="7"/>
  <c r="Q112" i="1"/>
  <c r="L110" i="7"/>
  <c r="M112" i="1"/>
  <c r="K110" i="7"/>
  <c r="L112" i="1"/>
  <c r="J110" i="7"/>
  <c r="K112" i="1"/>
  <c r="I110" i="7"/>
  <c r="J112" i="1"/>
  <c r="H110" i="7"/>
  <c r="I112" i="1"/>
  <c r="G110" i="7"/>
  <c r="H112" i="1"/>
  <c r="S109" i="7"/>
  <c r="T111" i="1"/>
  <c r="R109" i="7"/>
  <c r="S111" i="1"/>
  <c r="Q109" i="7"/>
  <c r="R111" i="1"/>
  <c r="P109" i="7"/>
  <c r="Q111" i="1"/>
  <c r="L109" i="7"/>
  <c r="M111" i="1"/>
  <c r="K109" i="7"/>
  <c r="L111" i="1"/>
  <c r="J109" i="7"/>
  <c r="K111" i="1"/>
  <c r="I109" i="7"/>
  <c r="J111" i="1"/>
  <c r="H109" i="7"/>
  <c r="I111" i="1"/>
  <c r="G109" i="7"/>
  <c r="H111" i="1"/>
  <c r="S108" i="7"/>
  <c r="T110" i="1"/>
  <c r="R108" i="7"/>
  <c r="S110" i="1"/>
  <c r="Q108" i="7"/>
  <c r="R110" i="1"/>
  <c r="P108" i="7"/>
  <c r="Q110" i="1"/>
  <c r="L108" i="7"/>
  <c r="M110" i="1"/>
  <c r="K108" i="7"/>
  <c r="L110" i="1"/>
  <c r="J108" i="7"/>
  <c r="K110" i="1"/>
  <c r="I108" i="7"/>
  <c r="J110" i="1"/>
  <c r="H108" i="7"/>
  <c r="I110" i="1"/>
  <c r="G108" i="7"/>
  <c r="H110" i="1"/>
  <c r="S107" i="7"/>
  <c r="T109" i="1"/>
  <c r="R107" i="7"/>
  <c r="S109" i="1"/>
  <c r="Q107" i="7"/>
  <c r="R109" i="1"/>
  <c r="P107" i="7"/>
  <c r="Q109" i="1"/>
  <c r="L107" i="7"/>
  <c r="M109" i="1"/>
  <c r="K107" i="7"/>
  <c r="L109" i="1"/>
  <c r="J107" i="7"/>
  <c r="K109" i="1"/>
  <c r="I107" i="7"/>
  <c r="J109" i="1"/>
  <c r="H107" i="7"/>
  <c r="I109" i="1"/>
  <c r="G107" i="7"/>
  <c r="H109" i="1"/>
  <c r="S106" i="7"/>
  <c r="T108" i="1"/>
  <c r="R106" i="7"/>
  <c r="S108" i="1"/>
  <c r="Q106" i="7"/>
  <c r="R108" i="1"/>
  <c r="P106" i="7"/>
  <c r="Q108" i="1"/>
  <c r="L106" i="7"/>
  <c r="M108" i="1"/>
  <c r="K106" i="7"/>
  <c r="L108" i="1"/>
  <c r="J106" i="7"/>
  <c r="K108" i="1"/>
  <c r="I106" i="7"/>
  <c r="J108" i="1"/>
  <c r="H106" i="7"/>
  <c r="I108" i="1"/>
  <c r="G106" i="7"/>
  <c r="H108" i="1"/>
  <c r="S105" i="7"/>
  <c r="T107" i="1"/>
  <c r="R105" i="7"/>
  <c r="S107" i="1"/>
  <c r="Q105" i="7"/>
  <c r="R107" i="1"/>
  <c r="P105" i="7"/>
  <c r="Q107" i="1"/>
  <c r="L105" i="7"/>
  <c r="M107" i="1"/>
  <c r="K105" i="7"/>
  <c r="L107" i="1"/>
  <c r="J105" i="7"/>
  <c r="K107" i="1"/>
  <c r="I105" i="7"/>
  <c r="J107" i="1"/>
  <c r="H105" i="7"/>
  <c r="I107" i="1"/>
  <c r="G105" i="7"/>
  <c r="H107" i="1"/>
  <c r="S104" i="7"/>
  <c r="T106" i="1"/>
  <c r="R104" i="7"/>
  <c r="S106" i="1"/>
  <c r="Q104" i="7"/>
  <c r="R106" i="1"/>
  <c r="P104" i="7"/>
  <c r="Q106" i="1"/>
  <c r="L104" i="7"/>
  <c r="M106" i="1"/>
  <c r="K104" i="7"/>
  <c r="L106" i="1"/>
  <c r="J104" i="7"/>
  <c r="K106" i="1"/>
  <c r="I104" i="7"/>
  <c r="J106" i="1"/>
  <c r="H104" i="7"/>
  <c r="I106" i="1"/>
  <c r="G104" i="7"/>
  <c r="H106" i="1"/>
  <c r="S103" i="7"/>
  <c r="T105" i="1"/>
  <c r="R103" i="7"/>
  <c r="S105" i="1"/>
  <c r="Q103" i="7"/>
  <c r="R105" i="1"/>
  <c r="P103" i="7"/>
  <c r="Q105" i="1"/>
  <c r="L103" i="7"/>
  <c r="M105" i="1"/>
  <c r="K103" i="7"/>
  <c r="L105" i="1"/>
  <c r="J103" i="7"/>
  <c r="K105" i="1"/>
  <c r="I103" i="7"/>
  <c r="J105" i="1"/>
  <c r="H103" i="7"/>
  <c r="I105" i="1"/>
  <c r="G103" i="7"/>
  <c r="H105" i="1"/>
  <c r="S102" i="7"/>
  <c r="T104" i="1"/>
  <c r="R102" i="7"/>
  <c r="S104" i="1"/>
  <c r="Q102" i="7"/>
  <c r="R104" i="1"/>
  <c r="P102" i="7"/>
  <c r="Q104" i="1"/>
  <c r="L102" i="7"/>
  <c r="M104" i="1"/>
  <c r="K102" i="7"/>
  <c r="L104" i="1"/>
  <c r="J102" i="7"/>
  <c r="K104" i="1"/>
  <c r="I102" i="7"/>
  <c r="J104" i="1"/>
  <c r="H102" i="7"/>
  <c r="I104" i="1"/>
  <c r="G102" i="7"/>
  <c r="H104" i="1"/>
  <c r="S101" i="7"/>
  <c r="T103" i="1"/>
  <c r="R101" i="7"/>
  <c r="S103" i="1"/>
  <c r="Q101" i="7"/>
  <c r="R103" i="1"/>
  <c r="P101" i="7"/>
  <c r="Q103" i="1"/>
  <c r="L101" i="7"/>
  <c r="M103" i="1"/>
  <c r="K101" i="7"/>
  <c r="L103" i="1"/>
  <c r="J101" i="7"/>
  <c r="K103" i="1"/>
  <c r="I101" i="7"/>
  <c r="J103" i="1"/>
  <c r="H101" i="7"/>
  <c r="I103" i="1"/>
  <c r="G101" i="7"/>
  <c r="H103" i="1"/>
  <c r="S100" i="7"/>
  <c r="T102" i="1"/>
  <c r="R100" i="7"/>
  <c r="S102" i="1"/>
  <c r="Q100" i="7"/>
  <c r="R102" i="1"/>
  <c r="P100" i="7"/>
  <c r="Q102" i="1"/>
  <c r="L100" i="7"/>
  <c r="M102" i="1"/>
  <c r="K100" i="7"/>
  <c r="L102" i="1"/>
  <c r="J100" i="7"/>
  <c r="K102" i="1"/>
  <c r="I100" i="7"/>
  <c r="J102" i="1"/>
  <c r="H100" i="7"/>
  <c r="I102" i="1"/>
  <c r="G100" i="7"/>
  <c r="H102" i="1"/>
  <c r="S99" i="7"/>
  <c r="T101" i="1"/>
  <c r="R99" i="7"/>
  <c r="S101" i="1"/>
  <c r="Q99" i="7"/>
  <c r="R101" i="1"/>
  <c r="P99" i="7"/>
  <c r="Q101" i="1"/>
  <c r="L99" i="7"/>
  <c r="M101" i="1"/>
  <c r="K99" i="7"/>
  <c r="L101" i="1"/>
  <c r="J99" i="7"/>
  <c r="K101" i="1"/>
  <c r="I99" i="7"/>
  <c r="J101" i="1"/>
  <c r="H99" i="7"/>
  <c r="I101" i="1"/>
  <c r="G99" i="7"/>
  <c r="H101" i="1"/>
  <c r="S98" i="7"/>
  <c r="T100" i="1"/>
  <c r="R98" i="7"/>
  <c r="S100" i="1"/>
  <c r="Q98" i="7"/>
  <c r="R100" i="1"/>
  <c r="P98" i="7"/>
  <c r="Q100" i="1"/>
  <c r="L98" i="7"/>
  <c r="M100" i="1"/>
  <c r="K98" i="7"/>
  <c r="L100" i="1"/>
  <c r="J98" i="7"/>
  <c r="K100" i="1"/>
  <c r="I98" i="7"/>
  <c r="J100" i="1"/>
  <c r="H98" i="7"/>
  <c r="I100" i="1"/>
  <c r="G98" i="7"/>
  <c r="H100" i="1"/>
  <c r="S97" i="7"/>
  <c r="T99" i="1"/>
  <c r="R97" i="7"/>
  <c r="S99" i="1"/>
  <c r="Q97" i="7"/>
  <c r="R99" i="1"/>
  <c r="P97" i="7"/>
  <c r="Q99" i="1"/>
  <c r="L97" i="7"/>
  <c r="M99" i="1"/>
  <c r="K97" i="7"/>
  <c r="L99" i="1"/>
  <c r="J97" i="7"/>
  <c r="K99" i="1"/>
  <c r="I97" i="7"/>
  <c r="J99" i="1"/>
  <c r="H97" i="7"/>
  <c r="I99" i="1"/>
  <c r="G97" i="7"/>
  <c r="H99" i="1"/>
  <c r="S96" i="7"/>
  <c r="T98" i="1"/>
  <c r="R96" i="7"/>
  <c r="S98" i="1"/>
  <c r="Q96" i="7"/>
  <c r="R98" i="1"/>
  <c r="P96" i="7"/>
  <c r="Q98" i="1"/>
  <c r="L96" i="7"/>
  <c r="M98" i="1"/>
  <c r="K96" i="7"/>
  <c r="L98" i="1"/>
  <c r="J96" i="7"/>
  <c r="K98" i="1"/>
  <c r="I96" i="7"/>
  <c r="J98" i="1"/>
  <c r="H96" i="7"/>
  <c r="I98" i="1"/>
  <c r="G96" i="7"/>
  <c r="H98" i="1"/>
  <c r="S95" i="7"/>
  <c r="T97" i="1"/>
  <c r="R95" i="7"/>
  <c r="S97" i="1"/>
  <c r="Q95" i="7"/>
  <c r="R97" i="1"/>
  <c r="P95" i="7"/>
  <c r="Q97" i="1"/>
  <c r="L95" i="7"/>
  <c r="M97" i="1"/>
  <c r="K95" i="7"/>
  <c r="L97" i="1"/>
  <c r="J95" i="7"/>
  <c r="K97" i="1"/>
  <c r="I95" i="7"/>
  <c r="J97" i="1"/>
  <c r="H95" i="7"/>
  <c r="I97" i="1"/>
  <c r="G95" i="7"/>
  <c r="H97" i="1"/>
  <c r="S94" i="7"/>
  <c r="T96" i="1"/>
  <c r="R94" i="7"/>
  <c r="S96" i="1"/>
  <c r="Q94" i="7"/>
  <c r="R96" i="1"/>
  <c r="P94" i="7"/>
  <c r="Q96" i="1"/>
  <c r="L94" i="7"/>
  <c r="M96" i="1"/>
  <c r="K94" i="7"/>
  <c r="L96" i="1"/>
  <c r="J94" i="7"/>
  <c r="K96" i="1"/>
  <c r="I94" i="7"/>
  <c r="J96" i="1"/>
  <c r="H94" i="7"/>
  <c r="I96" i="1"/>
  <c r="G94" i="7"/>
  <c r="H96" i="1"/>
  <c r="S93" i="7"/>
  <c r="T95" i="1"/>
  <c r="R93" i="7"/>
  <c r="S95" i="1"/>
  <c r="Q93" i="7"/>
  <c r="R95" i="1"/>
  <c r="P93" i="7"/>
  <c r="Q95" i="1"/>
  <c r="L93" i="7"/>
  <c r="M95" i="1"/>
  <c r="K93" i="7"/>
  <c r="L95" i="1"/>
  <c r="J93" i="7"/>
  <c r="K95" i="1"/>
  <c r="I93" i="7"/>
  <c r="J95" i="1"/>
  <c r="H93" i="7"/>
  <c r="I95" i="1"/>
  <c r="G93" i="7"/>
  <c r="H95" i="1"/>
  <c r="S92" i="7"/>
  <c r="T94" i="1"/>
  <c r="R92" i="7"/>
  <c r="S94" i="1"/>
  <c r="Q92" i="7"/>
  <c r="R94" i="1"/>
  <c r="P92" i="7"/>
  <c r="Q94" i="1"/>
  <c r="L92" i="7"/>
  <c r="M94" i="1"/>
  <c r="K92" i="7"/>
  <c r="L94" i="1"/>
  <c r="J92" i="7"/>
  <c r="K94" i="1"/>
  <c r="I92" i="7"/>
  <c r="J94" i="1"/>
  <c r="H92" i="7"/>
  <c r="I94" i="1"/>
  <c r="G92" i="7"/>
  <c r="H94" i="1"/>
  <c r="S91" i="7"/>
  <c r="T93" i="1"/>
  <c r="R91" i="7"/>
  <c r="S93" i="1"/>
  <c r="Q91" i="7"/>
  <c r="R93" i="1"/>
  <c r="P91" i="7"/>
  <c r="Q93" i="1"/>
  <c r="L91" i="7"/>
  <c r="M93" i="1"/>
  <c r="K91" i="7"/>
  <c r="L93" i="1"/>
  <c r="J91" i="7"/>
  <c r="K93" i="1"/>
  <c r="I91" i="7"/>
  <c r="J93" i="1"/>
  <c r="H91" i="7"/>
  <c r="I93" i="1"/>
  <c r="G91" i="7"/>
  <c r="H93" i="1"/>
  <c r="S90" i="7"/>
  <c r="T92" i="1"/>
  <c r="R90" i="7"/>
  <c r="S92" i="1"/>
  <c r="Q90" i="7"/>
  <c r="R92" i="1"/>
  <c r="P90" i="7"/>
  <c r="Q92" i="1"/>
  <c r="L90" i="7"/>
  <c r="M92" i="1"/>
  <c r="K90" i="7"/>
  <c r="L92" i="1"/>
  <c r="J90" i="7"/>
  <c r="K92" i="1"/>
  <c r="I90" i="7"/>
  <c r="J92" i="1"/>
  <c r="H90" i="7"/>
  <c r="I92" i="1"/>
  <c r="G90" i="7"/>
  <c r="H92" i="1"/>
  <c r="S89" i="7"/>
  <c r="T91" i="1"/>
  <c r="R89" i="7"/>
  <c r="S91" i="1"/>
  <c r="Q89" i="7"/>
  <c r="R91" i="1"/>
  <c r="P89" i="7"/>
  <c r="Q91" i="1"/>
  <c r="L89" i="7"/>
  <c r="M91" i="1"/>
  <c r="K89" i="7"/>
  <c r="L91" i="1"/>
  <c r="J89" i="7"/>
  <c r="K91" i="1"/>
  <c r="I89" i="7"/>
  <c r="J91" i="1"/>
  <c r="H89" i="7"/>
  <c r="I91" i="1"/>
  <c r="G89" i="7"/>
  <c r="H91" i="1"/>
  <c r="S88" i="7"/>
  <c r="T90" i="1"/>
  <c r="R88" i="7"/>
  <c r="S90" i="1"/>
  <c r="Q88" i="7"/>
  <c r="R90" i="1"/>
  <c r="P88" i="7"/>
  <c r="Q90" i="1"/>
  <c r="L88" i="7"/>
  <c r="M90" i="1"/>
  <c r="K88" i="7"/>
  <c r="L90" i="1"/>
  <c r="J88" i="7"/>
  <c r="K90" i="1"/>
  <c r="I88" i="7"/>
  <c r="J90" i="1"/>
  <c r="H88" i="7"/>
  <c r="I90" i="1"/>
  <c r="G88" i="7"/>
  <c r="H90" i="1"/>
  <c r="S87" i="7"/>
  <c r="T89" i="1"/>
  <c r="R87" i="7"/>
  <c r="S89" i="1"/>
  <c r="Q87" i="7"/>
  <c r="R89" i="1"/>
  <c r="P87" i="7"/>
  <c r="Q89" i="1"/>
  <c r="L87" i="7"/>
  <c r="M89" i="1"/>
  <c r="K87" i="7"/>
  <c r="L89" i="1"/>
  <c r="J87" i="7"/>
  <c r="K89" i="1"/>
  <c r="I87" i="7"/>
  <c r="J89" i="1"/>
  <c r="H87" i="7"/>
  <c r="I89" i="1"/>
  <c r="G87" i="7"/>
  <c r="H89" i="1"/>
  <c r="S86" i="7"/>
  <c r="T88" i="1"/>
  <c r="R86" i="7"/>
  <c r="S88" i="1"/>
  <c r="Q86" i="7"/>
  <c r="R88" i="1"/>
  <c r="P86" i="7"/>
  <c r="Q88" i="1"/>
  <c r="L86" i="7"/>
  <c r="M88" i="1"/>
  <c r="K86" i="7"/>
  <c r="L88" i="1"/>
  <c r="J86" i="7"/>
  <c r="K88" i="1"/>
  <c r="I86" i="7"/>
  <c r="J88" i="1"/>
  <c r="H86" i="7"/>
  <c r="I88" i="1"/>
  <c r="G86" i="7"/>
  <c r="H88" i="1"/>
  <c r="S85" i="7"/>
  <c r="T87" i="1"/>
  <c r="R85" i="7"/>
  <c r="S87" i="1"/>
  <c r="Q85" i="7"/>
  <c r="R87" i="1"/>
  <c r="P85" i="7"/>
  <c r="Q87" i="1"/>
  <c r="L85" i="7"/>
  <c r="M87" i="1"/>
  <c r="K85" i="7"/>
  <c r="L87" i="1"/>
  <c r="J85" i="7"/>
  <c r="K87" i="1"/>
  <c r="I85" i="7"/>
  <c r="J87" i="1"/>
  <c r="H85" i="7"/>
  <c r="I87" i="1"/>
  <c r="G85" i="7"/>
  <c r="H87" i="1"/>
  <c r="S84" i="7"/>
  <c r="T86" i="1"/>
  <c r="R84" i="7"/>
  <c r="S86" i="1"/>
  <c r="Q84" i="7"/>
  <c r="R86" i="1"/>
  <c r="P84" i="7"/>
  <c r="Q86" i="1"/>
  <c r="L84" i="7"/>
  <c r="M86" i="1"/>
  <c r="K84" i="7"/>
  <c r="L86" i="1"/>
  <c r="J84" i="7"/>
  <c r="K86" i="1"/>
  <c r="I84" i="7"/>
  <c r="J86" i="1"/>
  <c r="H84" i="7"/>
  <c r="I86" i="1"/>
  <c r="G84" i="7"/>
  <c r="H86" i="1"/>
  <c r="S83" i="7"/>
  <c r="T85" i="1"/>
  <c r="R83" i="7"/>
  <c r="S85" i="1"/>
  <c r="Q83" i="7"/>
  <c r="R85" i="1"/>
  <c r="P83" i="7"/>
  <c r="Q85" i="1"/>
  <c r="L83" i="7"/>
  <c r="M85" i="1"/>
  <c r="K83" i="7"/>
  <c r="L85" i="1"/>
  <c r="J83" i="7"/>
  <c r="K85" i="1"/>
  <c r="I83" i="7"/>
  <c r="J85" i="1"/>
  <c r="H83" i="7"/>
  <c r="I85" i="1"/>
  <c r="G83" i="7"/>
  <c r="H85" i="1"/>
  <c r="S82" i="7"/>
  <c r="T84" i="1"/>
  <c r="R82" i="7"/>
  <c r="S84" i="1"/>
  <c r="Q82" i="7"/>
  <c r="R84" i="1"/>
  <c r="P82" i="7"/>
  <c r="Q84" i="1"/>
  <c r="L82" i="7"/>
  <c r="M84" i="1"/>
  <c r="K82" i="7"/>
  <c r="L84" i="1"/>
  <c r="J82" i="7"/>
  <c r="K84" i="1"/>
  <c r="I82" i="7"/>
  <c r="J84" i="1"/>
  <c r="H82" i="7"/>
  <c r="I84" i="1"/>
  <c r="G82" i="7"/>
  <c r="H84" i="1"/>
  <c r="S81" i="7"/>
  <c r="T83" i="1"/>
  <c r="R81" i="7"/>
  <c r="S83" i="1"/>
  <c r="Q81" i="7"/>
  <c r="R83" i="1"/>
  <c r="P81" i="7"/>
  <c r="Q83" i="1"/>
  <c r="L81" i="7"/>
  <c r="M83" i="1"/>
  <c r="K81" i="7"/>
  <c r="L83" i="1"/>
  <c r="J81" i="7"/>
  <c r="K83" i="1"/>
  <c r="I81" i="7"/>
  <c r="J83" i="1"/>
  <c r="H81" i="7"/>
  <c r="I83" i="1"/>
  <c r="G81" i="7"/>
  <c r="H83" i="1"/>
  <c r="S80" i="7"/>
  <c r="T82" i="1"/>
  <c r="R80" i="7"/>
  <c r="S82" i="1"/>
  <c r="Q80" i="7"/>
  <c r="R82" i="1"/>
  <c r="P80" i="7"/>
  <c r="Q82" i="1"/>
  <c r="L80" i="7"/>
  <c r="M82" i="1"/>
  <c r="K80" i="7"/>
  <c r="L82" i="1"/>
  <c r="J80" i="7"/>
  <c r="K82" i="1"/>
  <c r="I80" i="7"/>
  <c r="J82" i="1"/>
  <c r="H80" i="7"/>
  <c r="I82" i="1"/>
  <c r="G80" i="7"/>
  <c r="H82" i="1"/>
  <c r="S79" i="7"/>
  <c r="T81" i="1"/>
  <c r="R79" i="7"/>
  <c r="S81" i="1"/>
  <c r="Q79" i="7"/>
  <c r="R81" i="1"/>
  <c r="P79" i="7"/>
  <c r="Q81" i="1"/>
  <c r="L79" i="7"/>
  <c r="M81" i="1"/>
  <c r="K79" i="7"/>
  <c r="L81" i="1"/>
  <c r="J79" i="7"/>
  <c r="K81" i="1"/>
  <c r="I79" i="7"/>
  <c r="J81" i="1"/>
  <c r="H79" i="7"/>
  <c r="I81" i="1"/>
  <c r="G79" i="7"/>
  <c r="H81" i="1"/>
  <c r="S78" i="7"/>
  <c r="T80" i="1"/>
  <c r="R78" i="7"/>
  <c r="S80" i="1"/>
  <c r="Q78" i="7"/>
  <c r="R80" i="1"/>
  <c r="P78" i="7"/>
  <c r="Q80" i="1"/>
  <c r="L78" i="7"/>
  <c r="M80" i="1"/>
  <c r="K78" i="7"/>
  <c r="L80" i="1"/>
  <c r="J78" i="7"/>
  <c r="K80" i="1"/>
  <c r="I78" i="7"/>
  <c r="J80" i="1"/>
  <c r="H78" i="7"/>
  <c r="I80" i="1"/>
  <c r="G78" i="7"/>
  <c r="H80" i="1"/>
  <c r="S77" i="7"/>
  <c r="T79" i="1"/>
  <c r="R77" i="7"/>
  <c r="S79" i="1"/>
  <c r="Q77" i="7"/>
  <c r="R79" i="1"/>
  <c r="P77" i="7"/>
  <c r="Q79" i="1"/>
  <c r="L77" i="7"/>
  <c r="M79" i="1"/>
  <c r="K77" i="7"/>
  <c r="L79" i="1"/>
  <c r="J77" i="7"/>
  <c r="K79" i="1"/>
  <c r="I77" i="7"/>
  <c r="J79" i="1"/>
  <c r="H77" i="7"/>
  <c r="I79" i="1"/>
  <c r="G77" i="7"/>
  <c r="H79" i="1"/>
  <c r="S76" i="7"/>
  <c r="T78" i="1"/>
  <c r="R76" i="7"/>
  <c r="S78" i="1"/>
  <c r="Q76" i="7"/>
  <c r="R78" i="1"/>
  <c r="P76" i="7"/>
  <c r="Q78" i="1"/>
  <c r="L76" i="7"/>
  <c r="M78" i="1"/>
  <c r="K76" i="7"/>
  <c r="L78" i="1"/>
  <c r="J76" i="7"/>
  <c r="K78" i="1"/>
  <c r="I76" i="7"/>
  <c r="J78" i="1"/>
  <c r="H76" i="7"/>
  <c r="I78" i="1"/>
  <c r="G76" i="7"/>
  <c r="H78" i="1"/>
  <c r="S75" i="7"/>
  <c r="T77" i="1"/>
  <c r="R75" i="7"/>
  <c r="S77" i="1"/>
  <c r="Q75" i="7"/>
  <c r="R77" i="1"/>
  <c r="P75" i="7"/>
  <c r="Q77" i="1"/>
  <c r="L75" i="7"/>
  <c r="M77" i="1"/>
  <c r="K75" i="7"/>
  <c r="L77" i="1"/>
  <c r="J75" i="7"/>
  <c r="K77" i="1"/>
  <c r="I75" i="7"/>
  <c r="J77" i="1"/>
  <c r="H75" i="7"/>
  <c r="I77" i="1"/>
  <c r="G75" i="7"/>
  <c r="H77" i="1"/>
  <c r="S74" i="7"/>
  <c r="T76" i="1"/>
  <c r="R74" i="7"/>
  <c r="S76" i="1"/>
  <c r="Q74" i="7"/>
  <c r="R76" i="1"/>
  <c r="P74" i="7"/>
  <c r="Q76" i="1"/>
  <c r="L74" i="7"/>
  <c r="M76" i="1"/>
  <c r="K74" i="7"/>
  <c r="L76" i="1"/>
  <c r="J74" i="7"/>
  <c r="K76" i="1"/>
  <c r="I74" i="7"/>
  <c r="J76" i="1"/>
  <c r="H74" i="7"/>
  <c r="I76" i="1"/>
  <c r="G74" i="7"/>
  <c r="H76" i="1"/>
  <c r="S73" i="7"/>
  <c r="T75" i="1"/>
  <c r="R73" i="7"/>
  <c r="S75" i="1"/>
  <c r="Q73" i="7"/>
  <c r="R75" i="1"/>
  <c r="P73" i="7"/>
  <c r="Q75" i="1"/>
  <c r="L73" i="7"/>
  <c r="M75" i="1"/>
  <c r="K73" i="7"/>
  <c r="L75" i="1"/>
  <c r="J73" i="7"/>
  <c r="K75" i="1"/>
  <c r="I73" i="7"/>
  <c r="J75" i="1"/>
  <c r="H73" i="7"/>
  <c r="I75" i="1"/>
  <c r="G73" i="7"/>
  <c r="H75" i="1"/>
  <c r="S72" i="7"/>
  <c r="T74" i="1"/>
  <c r="R72" i="7"/>
  <c r="S74" i="1"/>
  <c r="Q72" i="7"/>
  <c r="R74" i="1"/>
  <c r="P72" i="7"/>
  <c r="Q74" i="1"/>
  <c r="L72" i="7"/>
  <c r="M74" i="1"/>
  <c r="K72" i="7"/>
  <c r="L74" i="1"/>
  <c r="J72" i="7"/>
  <c r="K74" i="1"/>
  <c r="I72" i="7"/>
  <c r="J74" i="1"/>
  <c r="H72" i="7"/>
  <c r="I74" i="1"/>
  <c r="G72" i="7"/>
  <c r="H74" i="1"/>
  <c r="Y71" i="7"/>
  <c r="Z73" i="1"/>
  <c r="X71" i="7"/>
  <c r="Y73" i="1"/>
  <c r="S71" i="7"/>
  <c r="T73" i="1"/>
  <c r="R71" i="7"/>
  <c r="S73" i="1"/>
  <c r="Q71" i="7"/>
  <c r="R73" i="1"/>
  <c r="P71" i="7"/>
  <c r="Q73" i="1"/>
  <c r="L71" i="7"/>
  <c r="M73" i="1"/>
  <c r="K71" i="7"/>
  <c r="L73" i="1"/>
  <c r="J71" i="7"/>
  <c r="K73" i="1"/>
  <c r="I71" i="7"/>
  <c r="J73" i="1"/>
  <c r="H71" i="7"/>
  <c r="I73" i="1"/>
  <c r="G71" i="7"/>
  <c r="H73" i="1"/>
  <c r="Y70" i="7"/>
  <c r="Z72" i="1"/>
  <c r="X70" i="7"/>
  <c r="Y72" i="1"/>
  <c r="S70" i="7"/>
  <c r="T72" i="1"/>
  <c r="R70" i="7"/>
  <c r="S72" i="1"/>
  <c r="Q70" i="7"/>
  <c r="R72" i="1"/>
  <c r="P70" i="7"/>
  <c r="Q72" i="1"/>
  <c r="L70" i="7"/>
  <c r="M72" i="1"/>
  <c r="K70" i="7"/>
  <c r="L72" i="1"/>
  <c r="J70" i="7"/>
  <c r="K72" i="1"/>
  <c r="I70" i="7"/>
  <c r="J72" i="1"/>
  <c r="H70" i="7"/>
  <c r="I72" i="1"/>
  <c r="G70" i="7"/>
  <c r="H72" i="1"/>
  <c r="Y69" i="7"/>
  <c r="Z71" i="1"/>
  <c r="X69" i="7"/>
  <c r="Y71" i="1"/>
  <c r="S69" i="7"/>
  <c r="T71" i="1"/>
  <c r="R69" i="7"/>
  <c r="S71" i="1"/>
  <c r="Q69" i="7"/>
  <c r="R71" i="1"/>
  <c r="P69" i="7"/>
  <c r="Q71" i="1"/>
  <c r="L69" i="7"/>
  <c r="M71" i="1"/>
  <c r="K69" i="7"/>
  <c r="L71" i="1"/>
  <c r="J69" i="7"/>
  <c r="K71" i="1"/>
  <c r="I69" i="7"/>
  <c r="J71" i="1"/>
  <c r="H69" i="7"/>
  <c r="I71" i="1"/>
  <c r="G69" i="7"/>
  <c r="H71" i="1"/>
  <c r="Y68" i="7"/>
  <c r="Z70" i="1"/>
  <c r="X68" i="7"/>
  <c r="Y70" i="1"/>
  <c r="S68" i="7"/>
  <c r="T70" i="1"/>
  <c r="R68" i="7"/>
  <c r="S70" i="1"/>
  <c r="Q68" i="7"/>
  <c r="R70" i="1"/>
  <c r="P68" i="7"/>
  <c r="Q70" i="1"/>
  <c r="L68" i="7"/>
  <c r="M70" i="1"/>
  <c r="K68" i="7"/>
  <c r="L70" i="1"/>
  <c r="J68" i="7"/>
  <c r="K70" i="1"/>
  <c r="I68" i="7"/>
  <c r="J70" i="1"/>
  <c r="H68" i="7"/>
  <c r="I70" i="1"/>
  <c r="G68" i="7"/>
  <c r="H70" i="1"/>
  <c r="Y67" i="7"/>
  <c r="Z69" i="1"/>
  <c r="X67" i="7"/>
  <c r="Y69" i="1"/>
  <c r="S67" i="7"/>
  <c r="T69" i="1"/>
  <c r="R67" i="7"/>
  <c r="S69" i="1"/>
  <c r="Q67" i="7"/>
  <c r="R69" i="1"/>
  <c r="P67" i="7"/>
  <c r="Q69" i="1"/>
  <c r="L67" i="7"/>
  <c r="M69" i="1"/>
  <c r="K67" i="7"/>
  <c r="L69" i="1"/>
  <c r="J67" i="7"/>
  <c r="K69" i="1"/>
  <c r="I67" i="7"/>
  <c r="J69" i="1"/>
  <c r="H67" i="7"/>
  <c r="I69" i="1"/>
  <c r="G67" i="7"/>
  <c r="H69" i="1"/>
  <c r="Z66" i="7"/>
  <c r="AA68" i="1"/>
  <c r="Y66" i="7"/>
  <c r="Z68" i="1"/>
  <c r="X66" i="7"/>
  <c r="Y68" i="1"/>
  <c r="S66" i="7"/>
  <c r="T68" i="1"/>
  <c r="R66" i="7"/>
  <c r="S68" i="1"/>
  <c r="Q66" i="7"/>
  <c r="R68" i="1"/>
  <c r="P66" i="7"/>
  <c r="Q68" i="1"/>
  <c r="L66" i="7"/>
  <c r="M68" i="1"/>
  <c r="K66" i="7"/>
  <c r="L68" i="1"/>
  <c r="J66" i="7"/>
  <c r="K68" i="1"/>
  <c r="I66" i="7"/>
  <c r="J68" i="1"/>
  <c r="H66" i="7"/>
  <c r="I68" i="1"/>
  <c r="G66" i="7"/>
  <c r="H68" i="1"/>
  <c r="Z65" i="7"/>
  <c r="AA67" i="1"/>
  <c r="Y65" i="7"/>
  <c r="Z67" i="1"/>
  <c r="X65" i="7"/>
  <c r="Y67" i="1"/>
  <c r="S65" i="7"/>
  <c r="T67" i="1"/>
  <c r="R65" i="7"/>
  <c r="S67" i="1"/>
  <c r="Q65" i="7"/>
  <c r="R67" i="1"/>
  <c r="P65" i="7"/>
  <c r="Q67" i="1"/>
  <c r="L65" i="7"/>
  <c r="M67" i="1"/>
  <c r="K65" i="7"/>
  <c r="L67" i="1"/>
  <c r="J65" i="7"/>
  <c r="K67" i="1"/>
  <c r="I65" i="7"/>
  <c r="J67" i="1"/>
  <c r="H65" i="7"/>
  <c r="I67" i="1"/>
  <c r="G65" i="7"/>
  <c r="H67" i="1"/>
  <c r="Z64" i="7"/>
  <c r="AA66" i="1"/>
  <c r="Y64" i="7"/>
  <c r="Z66" i="1"/>
  <c r="X64" i="7"/>
  <c r="Y66" i="1"/>
  <c r="S64" i="7"/>
  <c r="T66" i="1"/>
  <c r="R64" i="7"/>
  <c r="S66" i="1"/>
  <c r="Q64" i="7"/>
  <c r="R66" i="1"/>
  <c r="P64" i="7"/>
  <c r="Q66" i="1"/>
  <c r="L64" i="7"/>
  <c r="M66" i="1"/>
  <c r="K64" i="7"/>
  <c r="L66" i="1"/>
  <c r="J64" i="7"/>
  <c r="K66" i="1"/>
  <c r="I64" i="7"/>
  <c r="J66" i="1"/>
  <c r="H64" i="7"/>
  <c r="I66" i="1"/>
  <c r="G64" i="7"/>
  <c r="H66" i="1"/>
  <c r="Z63" i="7"/>
  <c r="AA65" i="1"/>
  <c r="Y63" i="7"/>
  <c r="Z65" i="1"/>
  <c r="X63" i="7"/>
  <c r="Y65" i="1"/>
  <c r="S63" i="7"/>
  <c r="T65" i="1"/>
  <c r="R63" i="7"/>
  <c r="S65" i="1"/>
  <c r="Q63" i="7"/>
  <c r="R65" i="1"/>
  <c r="P63" i="7"/>
  <c r="Q65" i="1"/>
  <c r="L63" i="7"/>
  <c r="M65" i="1"/>
  <c r="K63" i="7"/>
  <c r="L65" i="1"/>
  <c r="J63" i="7"/>
  <c r="K65" i="1"/>
  <c r="I63" i="7"/>
  <c r="J65" i="1"/>
  <c r="H63" i="7"/>
  <c r="I65" i="1"/>
  <c r="G63" i="7"/>
  <c r="H65" i="1"/>
  <c r="Z62" i="7"/>
  <c r="AA64" i="1"/>
  <c r="Y62" i="7"/>
  <c r="Z64" i="1"/>
  <c r="X62" i="7"/>
  <c r="Y64" i="1"/>
  <c r="S62" i="7"/>
  <c r="T64" i="1"/>
  <c r="R62" i="7"/>
  <c r="S64" i="1"/>
  <c r="Q62" i="7"/>
  <c r="R64" i="1"/>
  <c r="P62" i="7"/>
  <c r="Q64" i="1"/>
  <c r="L62" i="7"/>
  <c r="M64" i="1"/>
  <c r="K62" i="7"/>
  <c r="L64" i="1"/>
  <c r="J62" i="7"/>
  <c r="K64" i="1"/>
  <c r="I62" i="7"/>
  <c r="J64" i="1"/>
  <c r="H62" i="7"/>
  <c r="I64" i="1"/>
  <c r="G62" i="7"/>
  <c r="H64" i="1"/>
  <c r="Z61" i="7"/>
  <c r="AA63" i="1"/>
  <c r="Y61" i="7"/>
  <c r="Z63" i="1"/>
  <c r="X61" i="7"/>
  <c r="Y63" i="1"/>
  <c r="S61" i="7"/>
  <c r="T63" i="1"/>
  <c r="R61" i="7"/>
  <c r="S63" i="1"/>
  <c r="Q61" i="7"/>
  <c r="R63" i="1"/>
  <c r="P61" i="7"/>
  <c r="Q63" i="1"/>
  <c r="L61" i="7"/>
  <c r="M63" i="1"/>
  <c r="K61" i="7"/>
  <c r="L63" i="1"/>
  <c r="J61" i="7"/>
  <c r="K63" i="1"/>
  <c r="I61" i="7"/>
  <c r="J63" i="1"/>
  <c r="H61" i="7"/>
  <c r="I63" i="1"/>
  <c r="G61" i="7"/>
  <c r="H63" i="1"/>
  <c r="AA60" i="7"/>
  <c r="AB62" i="1"/>
  <c r="Z60" i="7"/>
  <c r="AA62" i="1"/>
  <c r="Y60" i="7"/>
  <c r="Z62" i="1"/>
  <c r="X60" i="7"/>
  <c r="Y62" i="1"/>
  <c r="S60" i="7"/>
  <c r="T62" i="1"/>
  <c r="R60" i="7"/>
  <c r="S62" i="1"/>
  <c r="Q60" i="7"/>
  <c r="R62" i="1"/>
  <c r="P60" i="7"/>
  <c r="Q62" i="1"/>
  <c r="L60" i="7"/>
  <c r="M62" i="1"/>
  <c r="K60" i="7"/>
  <c r="L62" i="1"/>
  <c r="J60" i="7"/>
  <c r="K62" i="1"/>
  <c r="I60" i="7"/>
  <c r="J62" i="1"/>
  <c r="H60" i="7"/>
  <c r="I62" i="1"/>
  <c r="G60" i="7"/>
  <c r="H62" i="1"/>
  <c r="AA59" i="7"/>
  <c r="AB61" i="1"/>
  <c r="Z59" i="7"/>
  <c r="AA61" i="1"/>
  <c r="Y59" i="7"/>
  <c r="Z61" i="1"/>
  <c r="X59" i="7"/>
  <c r="Y61" i="1"/>
  <c r="S59" i="7"/>
  <c r="T61" i="1"/>
  <c r="R59" i="7"/>
  <c r="S61" i="1"/>
  <c r="Q59" i="7"/>
  <c r="R61" i="1"/>
  <c r="P59" i="7"/>
  <c r="Q61" i="1"/>
  <c r="L59" i="7"/>
  <c r="M61" i="1"/>
  <c r="K59" i="7"/>
  <c r="L61" i="1"/>
  <c r="J59" i="7"/>
  <c r="K61" i="1"/>
  <c r="I59" i="7"/>
  <c r="J61" i="1"/>
  <c r="H59" i="7"/>
  <c r="I61" i="1"/>
  <c r="G59" i="7"/>
  <c r="H61" i="1"/>
  <c r="AA58" i="7"/>
  <c r="AB60" i="1"/>
  <c r="Z58" i="7"/>
  <c r="AA60" i="1"/>
  <c r="Y58" i="7"/>
  <c r="Z60" i="1"/>
  <c r="X58" i="7"/>
  <c r="Y60" i="1"/>
  <c r="S58" i="7"/>
  <c r="T60" i="1"/>
  <c r="R58" i="7"/>
  <c r="S60" i="1"/>
  <c r="Q58" i="7"/>
  <c r="R60" i="1"/>
  <c r="P58" i="7"/>
  <c r="Q60" i="1"/>
  <c r="L58" i="7"/>
  <c r="M60" i="1"/>
  <c r="K58" i="7"/>
  <c r="L60" i="1"/>
  <c r="J58" i="7"/>
  <c r="K60" i="1"/>
  <c r="I58" i="7"/>
  <c r="J60" i="1"/>
  <c r="H58" i="7"/>
  <c r="I60" i="1"/>
  <c r="G58" i="7"/>
  <c r="H60" i="1"/>
  <c r="AA57" i="7"/>
  <c r="AB59" i="1"/>
  <c r="Z57" i="7"/>
  <c r="AA59" i="1"/>
  <c r="Y57" i="7"/>
  <c r="Z59" i="1"/>
  <c r="X57" i="7"/>
  <c r="Y59" i="1"/>
  <c r="S57" i="7"/>
  <c r="T59" i="1"/>
  <c r="R57" i="7"/>
  <c r="S59" i="1"/>
  <c r="Q57" i="7"/>
  <c r="R59" i="1"/>
  <c r="P57" i="7"/>
  <c r="Q59" i="1"/>
  <c r="L57" i="7"/>
  <c r="M59" i="1"/>
  <c r="K57" i="7"/>
  <c r="L59" i="1"/>
  <c r="J57" i="7"/>
  <c r="K59" i="1"/>
  <c r="I57" i="7"/>
  <c r="J59" i="1"/>
  <c r="H57" i="7"/>
  <c r="I59" i="1"/>
  <c r="G57" i="7"/>
  <c r="H59" i="1"/>
  <c r="AA56" i="7"/>
  <c r="AB58" i="1"/>
  <c r="Z56" i="7"/>
  <c r="AA58" i="1"/>
  <c r="Y56" i="7"/>
  <c r="Z58" i="1"/>
  <c r="X56" i="7"/>
  <c r="Y58" i="1"/>
  <c r="S56" i="7"/>
  <c r="T58" i="1"/>
  <c r="R56" i="7"/>
  <c r="S58" i="1"/>
  <c r="Q56" i="7"/>
  <c r="R58" i="1"/>
  <c r="P56" i="7"/>
  <c r="Q58" i="1"/>
  <c r="L56" i="7"/>
  <c r="M58" i="1"/>
  <c r="K56" i="7"/>
  <c r="L58" i="1"/>
  <c r="J56" i="7"/>
  <c r="K58" i="1"/>
  <c r="I56" i="7"/>
  <c r="J58" i="1"/>
  <c r="H56" i="7"/>
  <c r="I58" i="1"/>
  <c r="G56" i="7"/>
  <c r="H58" i="1"/>
  <c r="AA55" i="7"/>
  <c r="AB57" i="1"/>
  <c r="Z55" i="7"/>
  <c r="AA57" i="1"/>
  <c r="Y55" i="7"/>
  <c r="Z57" i="1"/>
  <c r="X55" i="7"/>
  <c r="Y57" i="1"/>
  <c r="S55" i="7"/>
  <c r="T57" i="1"/>
  <c r="R55" i="7"/>
  <c r="S57" i="1"/>
  <c r="Q55" i="7"/>
  <c r="R57" i="1"/>
  <c r="P55" i="7"/>
  <c r="Q57" i="1"/>
  <c r="L55" i="7"/>
  <c r="M57" i="1"/>
  <c r="K55" i="7"/>
  <c r="L57" i="1"/>
  <c r="J55" i="7"/>
  <c r="K57" i="1"/>
  <c r="I55" i="7"/>
  <c r="J57" i="1"/>
  <c r="H55" i="7"/>
  <c r="I57" i="1"/>
  <c r="G55" i="7"/>
  <c r="H57" i="1"/>
  <c r="AA54" i="7"/>
  <c r="AB56" i="1"/>
  <c r="Z54" i="7"/>
  <c r="AA56" i="1"/>
  <c r="Y54" i="7"/>
  <c r="Z56" i="1"/>
  <c r="X54" i="7"/>
  <c r="Y56" i="1"/>
  <c r="S54" i="7"/>
  <c r="T56" i="1"/>
  <c r="R54" i="7"/>
  <c r="S56" i="1"/>
  <c r="Q54" i="7"/>
  <c r="R56" i="1"/>
  <c r="P54" i="7"/>
  <c r="Q56" i="1"/>
  <c r="L54" i="7"/>
  <c r="M56" i="1"/>
  <c r="K54" i="7"/>
  <c r="L56" i="1"/>
  <c r="J54" i="7"/>
  <c r="K56" i="1"/>
  <c r="I54" i="7"/>
  <c r="J56" i="1"/>
  <c r="H54" i="7"/>
  <c r="I56" i="1"/>
  <c r="G54" i="7"/>
  <c r="H56" i="1"/>
  <c r="AA53" i="7"/>
  <c r="AB55" i="1"/>
  <c r="Z53" i="7"/>
  <c r="AA55" i="1"/>
  <c r="Y53" i="7"/>
  <c r="Z55" i="1"/>
  <c r="X53" i="7"/>
  <c r="Y55" i="1"/>
  <c r="S53" i="7"/>
  <c r="T55" i="1"/>
  <c r="R53" i="7"/>
  <c r="S55" i="1"/>
  <c r="Q53" i="7"/>
  <c r="R55" i="1"/>
  <c r="P53" i="7"/>
  <c r="Q55" i="1"/>
  <c r="L53" i="7"/>
  <c r="M55" i="1"/>
  <c r="K53" i="7"/>
  <c r="L55" i="1"/>
  <c r="J53" i="7"/>
  <c r="K55" i="1"/>
  <c r="I53" i="7"/>
  <c r="J55" i="1"/>
  <c r="H53" i="7"/>
  <c r="I55" i="1"/>
  <c r="G53" i="7"/>
  <c r="H55" i="1"/>
  <c r="AA52" i="7"/>
  <c r="AB54" i="1"/>
  <c r="Z52" i="7"/>
  <c r="AA54" i="1"/>
  <c r="Y52" i="7"/>
  <c r="Z54" i="1"/>
  <c r="X52" i="7"/>
  <c r="Y54" i="1"/>
  <c r="S52" i="7"/>
  <c r="T54" i="1"/>
  <c r="R52" i="7"/>
  <c r="S54" i="1"/>
  <c r="Q52" i="7"/>
  <c r="R54" i="1"/>
  <c r="P52" i="7"/>
  <c r="Q54" i="1"/>
  <c r="L52" i="7"/>
  <c r="M54" i="1"/>
  <c r="K52" i="7"/>
  <c r="L54" i="1"/>
  <c r="J52" i="7"/>
  <c r="K54" i="1"/>
  <c r="I52" i="7"/>
  <c r="J54" i="1"/>
  <c r="H52" i="7"/>
  <c r="I54" i="1"/>
  <c r="G52" i="7"/>
  <c r="H54" i="1"/>
  <c r="AA51" i="7"/>
  <c r="AB53" i="1"/>
  <c r="Z51" i="7"/>
  <c r="AA53" i="1"/>
  <c r="Y51" i="7"/>
  <c r="Z53" i="1"/>
  <c r="X51" i="7"/>
  <c r="Y53" i="1"/>
  <c r="S51" i="7"/>
  <c r="T53" i="1"/>
  <c r="R51" i="7"/>
  <c r="S53" i="1"/>
  <c r="Q51" i="7"/>
  <c r="R53" i="1"/>
  <c r="P51" i="7"/>
  <c r="Q53" i="1"/>
  <c r="L51" i="7"/>
  <c r="M53" i="1"/>
  <c r="K51" i="7"/>
  <c r="L53" i="1"/>
  <c r="J51" i="7"/>
  <c r="K53" i="1"/>
  <c r="I51" i="7"/>
  <c r="J53" i="1"/>
  <c r="H51" i="7"/>
  <c r="I53" i="1"/>
  <c r="G51" i="7"/>
  <c r="H53" i="1"/>
  <c r="AA50" i="7"/>
  <c r="AB52" i="1"/>
  <c r="Z50" i="7"/>
  <c r="AA52" i="1"/>
  <c r="Y50" i="7"/>
  <c r="Z52" i="1"/>
  <c r="X50" i="7"/>
  <c r="Y52" i="1"/>
  <c r="S50" i="7"/>
  <c r="T52" i="1"/>
  <c r="R50" i="7"/>
  <c r="S52" i="1"/>
  <c r="Q50" i="7"/>
  <c r="R52" i="1"/>
  <c r="P50" i="7"/>
  <c r="Q52" i="1"/>
  <c r="L50" i="7"/>
  <c r="M52" i="1"/>
  <c r="K50" i="7"/>
  <c r="L52" i="1"/>
  <c r="J50" i="7"/>
  <c r="K52" i="1"/>
  <c r="I50" i="7"/>
  <c r="J52" i="1"/>
  <c r="H50" i="7"/>
  <c r="I52" i="1"/>
  <c r="G50" i="7"/>
  <c r="H52" i="1"/>
  <c r="AA49" i="7"/>
  <c r="AB51" i="1"/>
  <c r="Z49" i="7"/>
  <c r="AA51" i="1"/>
  <c r="Y49" i="7"/>
  <c r="Z51" i="1"/>
  <c r="X49" i="7"/>
  <c r="Y51" i="1"/>
  <c r="S49" i="7"/>
  <c r="T51" i="1"/>
  <c r="R49" i="7"/>
  <c r="S51" i="1"/>
  <c r="Q49" i="7"/>
  <c r="R51" i="1"/>
  <c r="P49" i="7"/>
  <c r="Q51" i="1"/>
  <c r="L49" i="7"/>
  <c r="M51" i="1"/>
  <c r="K49" i="7"/>
  <c r="L51" i="1"/>
  <c r="J49" i="7"/>
  <c r="K51" i="1"/>
  <c r="I49" i="7"/>
  <c r="J51" i="1"/>
  <c r="H49" i="7"/>
  <c r="I51" i="1"/>
  <c r="G49" i="7"/>
  <c r="H51" i="1"/>
  <c r="AA48" i="7"/>
  <c r="AB50" i="1"/>
  <c r="Z48" i="7"/>
  <c r="AA50" i="1"/>
  <c r="Y48" i="7"/>
  <c r="Z50" i="1"/>
  <c r="X48" i="7"/>
  <c r="Y50" i="1"/>
  <c r="S48" i="7"/>
  <c r="T50" i="1"/>
  <c r="R48" i="7"/>
  <c r="S50" i="1"/>
  <c r="Q48" i="7"/>
  <c r="R50" i="1"/>
  <c r="P48" i="7"/>
  <c r="Q50" i="1"/>
  <c r="L48" i="7"/>
  <c r="M50" i="1"/>
  <c r="K48" i="7"/>
  <c r="L50" i="1"/>
  <c r="J48" i="7"/>
  <c r="K50" i="1"/>
  <c r="I48" i="7"/>
  <c r="J50" i="1"/>
  <c r="H48" i="7"/>
  <c r="I50" i="1"/>
  <c r="G48" i="7"/>
  <c r="H50" i="1"/>
  <c r="AA47" i="7"/>
  <c r="AB49" i="1"/>
  <c r="Z47" i="7"/>
  <c r="AA49" i="1"/>
  <c r="Y47" i="7"/>
  <c r="Z49" i="1"/>
  <c r="X47" i="7"/>
  <c r="Y49" i="1"/>
  <c r="S47" i="7"/>
  <c r="T49" i="1"/>
  <c r="R47" i="7"/>
  <c r="S49" i="1"/>
  <c r="Q47" i="7"/>
  <c r="R49" i="1"/>
  <c r="P47" i="7"/>
  <c r="Q49" i="1"/>
  <c r="L47" i="7"/>
  <c r="M49" i="1"/>
  <c r="K47" i="7"/>
  <c r="L49" i="1"/>
  <c r="J47" i="7"/>
  <c r="K49" i="1"/>
  <c r="I47" i="7"/>
  <c r="J49" i="1"/>
  <c r="H47" i="7"/>
  <c r="I49" i="1"/>
  <c r="G47" i="7"/>
  <c r="H49" i="1"/>
  <c r="AA46" i="7"/>
  <c r="AB48" i="1"/>
  <c r="Z46" i="7"/>
  <c r="AA48" i="1"/>
  <c r="Y46" i="7"/>
  <c r="Z48" i="1"/>
  <c r="X46" i="7"/>
  <c r="Y48" i="1"/>
  <c r="S46" i="7"/>
  <c r="T48" i="1"/>
  <c r="R46" i="7"/>
  <c r="S48" i="1"/>
  <c r="Q46" i="7"/>
  <c r="R48" i="1"/>
  <c r="P46" i="7"/>
  <c r="Q48" i="1"/>
  <c r="L46" i="7"/>
  <c r="M48" i="1"/>
  <c r="K46" i="7"/>
  <c r="L48" i="1"/>
  <c r="J46" i="7"/>
  <c r="K48" i="1"/>
  <c r="I46" i="7"/>
  <c r="J48" i="1"/>
  <c r="H46" i="7"/>
  <c r="I48" i="1"/>
  <c r="G46" i="7"/>
  <c r="H48" i="1"/>
  <c r="AA45" i="7"/>
  <c r="AB47" i="1"/>
  <c r="Z45" i="7"/>
  <c r="AA47" i="1"/>
  <c r="Y45" i="7"/>
  <c r="Z47" i="1"/>
  <c r="X45" i="7"/>
  <c r="Y47" i="1"/>
  <c r="S45" i="7"/>
  <c r="T47" i="1"/>
  <c r="R45" i="7"/>
  <c r="S47" i="1"/>
  <c r="Q45" i="7"/>
  <c r="R47" i="1"/>
  <c r="P45" i="7"/>
  <c r="Q47" i="1"/>
  <c r="L45" i="7"/>
  <c r="M47" i="1"/>
  <c r="K45" i="7"/>
  <c r="L47" i="1"/>
  <c r="J45" i="7"/>
  <c r="K47" i="1"/>
  <c r="I45" i="7"/>
  <c r="J47" i="1"/>
  <c r="H45" i="7"/>
  <c r="I47" i="1"/>
  <c r="G45" i="7"/>
  <c r="H47" i="1"/>
  <c r="AA44" i="7"/>
  <c r="AB46" i="1"/>
  <c r="Z44" i="7"/>
  <c r="AA46" i="1"/>
  <c r="Y44" i="7"/>
  <c r="Z46" i="1"/>
  <c r="X44" i="7"/>
  <c r="Y46" i="1"/>
  <c r="S44" i="7"/>
  <c r="T46" i="1"/>
  <c r="R44" i="7"/>
  <c r="S46" i="1"/>
  <c r="Q44" i="7"/>
  <c r="R46" i="1"/>
  <c r="P44" i="7"/>
  <c r="Q46" i="1"/>
  <c r="L44" i="7"/>
  <c r="M46" i="1"/>
  <c r="K44" i="7"/>
  <c r="L46" i="1"/>
  <c r="J44" i="7"/>
  <c r="K46" i="1"/>
  <c r="I44" i="7"/>
  <c r="J46" i="1"/>
  <c r="H44" i="7"/>
  <c r="I46" i="1"/>
  <c r="G44" i="7"/>
  <c r="H46" i="1"/>
  <c r="AA43" i="7"/>
  <c r="AB45" i="1"/>
  <c r="Z43" i="7"/>
  <c r="AA45" i="1"/>
  <c r="Y43" i="7"/>
  <c r="Z45" i="1"/>
  <c r="X43" i="7"/>
  <c r="Y45" i="1"/>
  <c r="S43" i="7"/>
  <c r="T45" i="1"/>
  <c r="R43" i="7"/>
  <c r="S45" i="1"/>
  <c r="Q43" i="7"/>
  <c r="R45" i="1"/>
  <c r="P43" i="7"/>
  <c r="Q45" i="1"/>
  <c r="L43" i="7"/>
  <c r="M45" i="1"/>
  <c r="K43" i="7"/>
  <c r="L45" i="1"/>
  <c r="J43" i="7"/>
  <c r="K45" i="1"/>
  <c r="I43" i="7"/>
  <c r="J45" i="1"/>
  <c r="H43" i="7"/>
  <c r="I45" i="1"/>
  <c r="G43" i="7"/>
  <c r="H45" i="1"/>
  <c r="AA42" i="7"/>
  <c r="AB44" i="1"/>
  <c r="Z42" i="7"/>
  <c r="AA44" i="1"/>
  <c r="Y42" i="7"/>
  <c r="Z44" i="1"/>
  <c r="X42" i="7"/>
  <c r="Y44" i="1"/>
  <c r="S42" i="7"/>
  <c r="T44" i="1"/>
  <c r="R42" i="7"/>
  <c r="S44" i="1"/>
  <c r="Q42" i="7"/>
  <c r="R44" i="1"/>
  <c r="P42" i="7"/>
  <c r="Q44" i="1"/>
  <c r="L42" i="7"/>
  <c r="M44" i="1"/>
  <c r="K42" i="7"/>
  <c r="L44" i="1"/>
  <c r="J42" i="7"/>
  <c r="K44" i="1"/>
  <c r="I42" i="7"/>
  <c r="J44" i="1"/>
  <c r="H42" i="7"/>
  <c r="I44" i="1"/>
  <c r="G42" i="7"/>
  <c r="H44" i="1"/>
  <c r="AA41" i="7"/>
  <c r="AB43" i="1"/>
  <c r="Z41" i="7"/>
  <c r="AA43" i="1"/>
  <c r="Y41" i="7"/>
  <c r="Z43" i="1"/>
  <c r="X41" i="7"/>
  <c r="Y43" i="1"/>
  <c r="S41" i="7"/>
  <c r="T43" i="1"/>
  <c r="R41" i="7"/>
  <c r="S43" i="1"/>
  <c r="Q41" i="7"/>
  <c r="R43" i="1"/>
  <c r="P41" i="7"/>
  <c r="Q43" i="1"/>
  <c r="L41" i="7"/>
  <c r="M43" i="1"/>
  <c r="K41" i="7"/>
  <c r="L43" i="1"/>
  <c r="J41" i="7"/>
  <c r="K43" i="1"/>
  <c r="I41" i="7"/>
  <c r="J43" i="1"/>
  <c r="H41" i="7"/>
  <c r="I43" i="1"/>
  <c r="G41" i="7"/>
  <c r="H43" i="1"/>
  <c r="AA40" i="7"/>
  <c r="AB42" i="1"/>
  <c r="Z40" i="7"/>
  <c r="AA42" i="1"/>
  <c r="Y40" i="7"/>
  <c r="Z42" i="1"/>
  <c r="X40" i="7"/>
  <c r="Y42" i="1"/>
  <c r="S40" i="7"/>
  <c r="T42" i="1"/>
  <c r="R40" i="7"/>
  <c r="S42" i="1"/>
  <c r="Q40" i="7"/>
  <c r="R42" i="1"/>
  <c r="P40" i="7"/>
  <c r="Q42" i="1"/>
  <c r="L40" i="7"/>
  <c r="M42" i="1"/>
  <c r="K40" i="7"/>
  <c r="L42" i="1"/>
  <c r="J40" i="7"/>
  <c r="K42" i="1"/>
  <c r="I40" i="7"/>
  <c r="J42" i="1"/>
  <c r="H40" i="7"/>
  <c r="I42" i="1"/>
  <c r="G40" i="7"/>
  <c r="H42" i="1"/>
  <c r="AA39" i="7"/>
  <c r="AB41" i="1"/>
  <c r="Z39" i="7"/>
  <c r="AA41" i="1"/>
  <c r="Y39" i="7"/>
  <c r="Z41" i="1"/>
  <c r="X39" i="7"/>
  <c r="Y41" i="1"/>
  <c r="S39" i="7"/>
  <c r="T41" i="1"/>
  <c r="R39" i="7"/>
  <c r="S41" i="1"/>
  <c r="Q39" i="7"/>
  <c r="R41" i="1"/>
  <c r="P39" i="7"/>
  <c r="Q41" i="1"/>
  <c r="L39" i="7"/>
  <c r="M41" i="1"/>
  <c r="K39" i="7"/>
  <c r="L41" i="1"/>
  <c r="J39" i="7"/>
  <c r="K41" i="1"/>
  <c r="I39" i="7"/>
  <c r="J41" i="1"/>
  <c r="H39" i="7"/>
  <c r="I41" i="1"/>
  <c r="G39" i="7"/>
  <c r="H41" i="1"/>
  <c r="AA38" i="7"/>
  <c r="AB40" i="1"/>
  <c r="Z38" i="7"/>
  <c r="AA40" i="1"/>
  <c r="Y38" i="7"/>
  <c r="Z40" i="1"/>
  <c r="X38" i="7"/>
  <c r="Y40" i="1"/>
  <c r="S38" i="7"/>
  <c r="T40" i="1"/>
  <c r="R38" i="7"/>
  <c r="S40" i="1"/>
  <c r="Q38" i="7"/>
  <c r="R40" i="1"/>
  <c r="P38" i="7"/>
  <c r="Q40" i="1"/>
  <c r="L38" i="7"/>
  <c r="M40" i="1"/>
  <c r="K38" i="7"/>
  <c r="L40" i="1"/>
  <c r="J38" i="7"/>
  <c r="K40" i="1"/>
  <c r="I38" i="7"/>
  <c r="J40" i="1"/>
  <c r="H38" i="7"/>
  <c r="I40" i="1"/>
  <c r="G38" i="7"/>
  <c r="H40" i="1"/>
  <c r="AA37" i="7"/>
  <c r="AB39" i="1"/>
  <c r="Z37" i="7"/>
  <c r="AA39" i="1"/>
  <c r="Y37" i="7"/>
  <c r="Z39" i="1"/>
  <c r="X37" i="7"/>
  <c r="Y39" i="1"/>
  <c r="S37" i="7"/>
  <c r="T39" i="1"/>
  <c r="R37" i="7"/>
  <c r="S39" i="1"/>
  <c r="Q37" i="7"/>
  <c r="R39" i="1"/>
  <c r="P37" i="7"/>
  <c r="Q39" i="1"/>
  <c r="L37" i="7"/>
  <c r="M39" i="1"/>
  <c r="K37" i="7"/>
  <c r="L39" i="1"/>
  <c r="J37" i="7"/>
  <c r="K39" i="1"/>
  <c r="I37" i="7"/>
  <c r="J39" i="1"/>
  <c r="H37" i="7"/>
  <c r="I39" i="1"/>
  <c r="G37" i="7"/>
  <c r="H39" i="1"/>
  <c r="AA36" i="7"/>
  <c r="AB38" i="1"/>
  <c r="Z36" i="7"/>
  <c r="AA38" i="1"/>
  <c r="Y36" i="7"/>
  <c r="Z38" i="1"/>
  <c r="X36" i="7"/>
  <c r="Y38" i="1"/>
  <c r="S36" i="7"/>
  <c r="T38" i="1"/>
  <c r="R36" i="7"/>
  <c r="S38" i="1"/>
  <c r="Q36" i="7"/>
  <c r="R38" i="1"/>
  <c r="P36" i="7"/>
  <c r="Q38" i="1"/>
  <c r="L36" i="7"/>
  <c r="M38" i="1"/>
  <c r="K36" i="7"/>
  <c r="L38" i="1"/>
  <c r="J36" i="7"/>
  <c r="K38" i="1"/>
  <c r="I36" i="7"/>
  <c r="J38" i="1"/>
  <c r="H36" i="7"/>
  <c r="I38" i="1"/>
  <c r="G36" i="7"/>
  <c r="H38" i="1"/>
  <c r="AA35" i="7"/>
  <c r="AB37" i="1"/>
  <c r="Z35" i="7"/>
  <c r="AA37" i="1"/>
  <c r="Y35" i="7"/>
  <c r="Z37" i="1"/>
  <c r="X35" i="7"/>
  <c r="Y37" i="1"/>
  <c r="S35" i="7"/>
  <c r="T37" i="1"/>
  <c r="R35" i="7"/>
  <c r="S37" i="1"/>
  <c r="Q35" i="7"/>
  <c r="R37" i="1"/>
  <c r="P35" i="7"/>
  <c r="Q37" i="1"/>
  <c r="L35" i="7"/>
  <c r="M37" i="1"/>
  <c r="K35" i="7"/>
  <c r="L37" i="1"/>
  <c r="J35" i="7"/>
  <c r="K37" i="1"/>
  <c r="I35" i="7"/>
  <c r="J37" i="1"/>
  <c r="H35" i="7"/>
  <c r="I37" i="1"/>
  <c r="G35" i="7"/>
  <c r="H37" i="1"/>
  <c r="AA34" i="7"/>
  <c r="AB36" i="1"/>
  <c r="Z34" i="7"/>
  <c r="AA36" i="1"/>
  <c r="Y34" i="7"/>
  <c r="Z36" i="1"/>
  <c r="X34" i="7"/>
  <c r="Y36" i="1"/>
  <c r="S34" i="7"/>
  <c r="T36" i="1"/>
  <c r="R34" i="7"/>
  <c r="S36" i="1"/>
  <c r="Q34" i="7"/>
  <c r="R36" i="1"/>
  <c r="P34" i="7"/>
  <c r="Q36" i="1"/>
  <c r="L34" i="7"/>
  <c r="M36" i="1"/>
  <c r="K34" i="7"/>
  <c r="L36" i="1"/>
  <c r="J34" i="7"/>
  <c r="K36" i="1"/>
  <c r="I34" i="7"/>
  <c r="J36" i="1"/>
  <c r="H34" i="7"/>
  <c r="I36" i="1"/>
  <c r="G34" i="7"/>
  <c r="H36" i="1"/>
  <c r="AA33" i="7"/>
  <c r="AB35" i="1"/>
  <c r="Z33" i="7"/>
  <c r="AA35" i="1"/>
  <c r="Y33" i="7"/>
  <c r="Z35" i="1"/>
  <c r="X33" i="7"/>
  <c r="Y35" i="1"/>
  <c r="S33" i="7"/>
  <c r="T35" i="1"/>
  <c r="R33" i="7"/>
  <c r="S35" i="1"/>
  <c r="Q33" i="7"/>
  <c r="R35" i="1"/>
  <c r="P33" i="7"/>
  <c r="Q35" i="1"/>
  <c r="L33" i="7"/>
  <c r="M35" i="1"/>
  <c r="K33" i="7"/>
  <c r="L35" i="1"/>
  <c r="J33" i="7"/>
  <c r="K35" i="1"/>
  <c r="I33" i="7"/>
  <c r="J35" i="1"/>
  <c r="H33" i="7"/>
  <c r="I35" i="1"/>
  <c r="G33" i="7"/>
  <c r="H35" i="1"/>
  <c r="AA32" i="7"/>
  <c r="AB34" i="1"/>
  <c r="Z32" i="7"/>
  <c r="AA34" i="1"/>
  <c r="Y32" i="7"/>
  <c r="Z34" i="1"/>
  <c r="X32" i="7"/>
  <c r="Y34" i="1"/>
  <c r="S32" i="7"/>
  <c r="T34" i="1"/>
  <c r="R32" i="7"/>
  <c r="S34" i="1"/>
  <c r="Q32" i="7"/>
  <c r="R34" i="1"/>
  <c r="P32" i="7"/>
  <c r="Q34" i="1"/>
  <c r="L32" i="7"/>
  <c r="M34" i="1"/>
  <c r="K32" i="7"/>
  <c r="L34" i="1"/>
  <c r="J32" i="7"/>
  <c r="K34" i="1"/>
  <c r="I32" i="7"/>
  <c r="J34" i="1"/>
  <c r="H32" i="7"/>
  <c r="I34" i="1"/>
  <c r="G32" i="7"/>
  <c r="H34" i="1"/>
  <c r="AA31" i="7"/>
  <c r="AB33" i="1"/>
  <c r="Z31" i="7"/>
  <c r="AA33" i="1"/>
  <c r="Y31" i="7"/>
  <c r="Z33" i="1"/>
  <c r="X31" i="7"/>
  <c r="Y33" i="1"/>
  <c r="S31" i="7"/>
  <c r="T33" i="1"/>
  <c r="R31" i="7"/>
  <c r="S33" i="1"/>
  <c r="Q31" i="7"/>
  <c r="R33" i="1"/>
  <c r="P31" i="7"/>
  <c r="Q33" i="1"/>
  <c r="L31" i="7"/>
  <c r="M33" i="1"/>
  <c r="K31" i="7"/>
  <c r="L33" i="1"/>
  <c r="J31" i="7"/>
  <c r="K33" i="1"/>
  <c r="I31" i="7"/>
  <c r="J33" i="1"/>
  <c r="H31" i="7"/>
  <c r="I33" i="1"/>
  <c r="G31" i="7"/>
  <c r="H33" i="1"/>
  <c r="AA30" i="7"/>
  <c r="AB32" i="1"/>
  <c r="Z30" i="7"/>
  <c r="AA32" i="1"/>
  <c r="Y30" i="7"/>
  <c r="Z32" i="1"/>
  <c r="X30" i="7"/>
  <c r="Y32" i="1"/>
  <c r="S30" i="7"/>
  <c r="T32" i="1"/>
  <c r="R30" i="7"/>
  <c r="S32" i="1"/>
  <c r="Q30" i="7"/>
  <c r="R32" i="1"/>
  <c r="P30" i="7"/>
  <c r="Q32" i="1"/>
  <c r="L30" i="7"/>
  <c r="M32" i="1"/>
  <c r="K30" i="7"/>
  <c r="L32" i="1"/>
  <c r="J30" i="7"/>
  <c r="K32" i="1"/>
  <c r="I30" i="7"/>
  <c r="J32" i="1"/>
  <c r="H30" i="7"/>
  <c r="I32" i="1"/>
  <c r="G30" i="7"/>
  <c r="H32" i="1"/>
  <c r="AA29" i="7"/>
  <c r="AB31" i="1"/>
  <c r="Z29" i="7"/>
  <c r="AA31" i="1"/>
  <c r="Y29" i="7"/>
  <c r="Z31" i="1"/>
  <c r="X29" i="7"/>
  <c r="Y31" i="1"/>
  <c r="S29" i="7"/>
  <c r="T31" i="1"/>
  <c r="R29" i="7"/>
  <c r="S31" i="1"/>
  <c r="Q29" i="7"/>
  <c r="R31" i="1"/>
  <c r="P29" i="7"/>
  <c r="Q31" i="1"/>
  <c r="L29" i="7"/>
  <c r="M31" i="1"/>
  <c r="K29" i="7"/>
  <c r="L31" i="1"/>
  <c r="J29" i="7"/>
  <c r="K31" i="1"/>
  <c r="I29" i="7"/>
  <c r="J31" i="1"/>
  <c r="H29" i="7"/>
  <c r="I31" i="1"/>
  <c r="G29" i="7"/>
  <c r="H31" i="1"/>
  <c r="AA28" i="7"/>
  <c r="AB30" i="1"/>
  <c r="Z28" i="7"/>
  <c r="AA30" i="1"/>
  <c r="Y28" i="7"/>
  <c r="Z30" i="1"/>
  <c r="X28" i="7"/>
  <c r="Y30" i="1"/>
  <c r="S28" i="7"/>
  <c r="T30" i="1"/>
  <c r="R28" i="7"/>
  <c r="S30" i="1"/>
  <c r="Q28" i="7"/>
  <c r="R30" i="1"/>
  <c r="P28" i="7"/>
  <c r="Q30" i="1"/>
  <c r="L28" i="7"/>
  <c r="M30" i="1"/>
  <c r="K28" i="7"/>
  <c r="L30" i="1"/>
  <c r="J28" i="7"/>
  <c r="K30" i="1"/>
  <c r="I28" i="7"/>
  <c r="J30" i="1"/>
  <c r="H28" i="7"/>
  <c r="I30" i="1"/>
  <c r="G28" i="7"/>
  <c r="H30" i="1"/>
  <c r="AA27" i="7"/>
  <c r="AB29" i="1"/>
  <c r="Z27" i="7"/>
  <c r="AA29" i="1"/>
  <c r="Y27" i="7"/>
  <c r="Z29" i="1"/>
  <c r="X27" i="7"/>
  <c r="Y29" i="1"/>
  <c r="S27" i="7"/>
  <c r="T29" i="1"/>
  <c r="R27" i="7"/>
  <c r="S29" i="1"/>
  <c r="Q27" i="7"/>
  <c r="R29" i="1"/>
  <c r="P27" i="7"/>
  <c r="Q29" i="1"/>
  <c r="L27" i="7"/>
  <c r="M29" i="1"/>
  <c r="K27" i="7"/>
  <c r="L29" i="1"/>
  <c r="J27" i="7"/>
  <c r="K29" i="1"/>
  <c r="I27" i="7"/>
  <c r="J29" i="1"/>
  <c r="H27" i="7"/>
  <c r="I29" i="1"/>
  <c r="G27" i="7"/>
  <c r="H29" i="1"/>
  <c r="AA26" i="7"/>
  <c r="AB28" i="1"/>
  <c r="Z26" i="7"/>
  <c r="AA28" i="1"/>
  <c r="Y26" i="7"/>
  <c r="Z28" i="1"/>
  <c r="X26" i="7"/>
  <c r="Y28" i="1"/>
  <c r="S26" i="7"/>
  <c r="T28" i="1"/>
  <c r="R26" i="7"/>
  <c r="S28" i="1"/>
  <c r="Q26" i="7"/>
  <c r="R28" i="1"/>
  <c r="P26" i="7"/>
  <c r="Q28" i="1"/>
  <c r="L26" i="7"/>
  <c r="M28" i="1"/>
  <c r="K26" i="7"/>
  <c r="L28" i="1"/>
  <c r="J26" i="7"/>
  <c r="K28" i="1"/>
  <c r="I26" i="7"/>
  <c r="J28" i="1"/>
  <c r="H26" i="7"/>
  <c r="I28" i="1"/>
  <c r="G26" i="7"/>
  <c r="H28" i="1"/>
  <c r="AA25" i="7"/>
  <c r="AB27" i="1"/>
  <c r="Z25" i="7"/>
  <c r="AA27" i="1"/>
  <c r="Y25" i="7"/>
  <c r="Z27" i="1"/>
  <c r="X25" i="7"/>
  <c r="Y27" i="1"/>
  <c r="S25" i="7"/>
  <c r="T27" i="1"/>
  <c r="R25" i="7"/>
  <c r="S27" i="1"/>
  <c r="Q25" i="7"/>
  <c r="R27" i="1"/>
  <c r="P25" i="7"/>
  <c r="Q27" i="1"/>
  <c r="L25" i="7"/>
  <c r="M27" i="1"/>
  <c r="K25" i="7"/>
  <c r="L27" i="1"/>
  <c r="J25" i="7"/>
  <c r="K27" i="1"/>
  <c r="I25" i="7"/>
  <c r="J27" i="1"/>
  <c r="H25" i="7"/>
  <c r="I27" i="1"/>
  <c r="G25" i="7"/>
  <c r="H27" i="1"/>
  <c r="AA24" i="7"/>
  <c r="AB26" i="1"/>
  <c r="Z24" i="7"/>
  <c r="AA26" i="1"/>
  <c r="Y24" i="7"/>
  <c r="Z26" i="1"/>
  <c r="X24" i="7"/>
  <c r="Y26" i="1"/>
  <c r="S24" i="7"/>
  <c r="T26" i="1"/>
  <c r="R24" i="7"/>
  <c r="S26" i="1"/>
  <c r="Q24" i="7"/>
  <c r="R26" i="1"/>
  <c r="P24" i="7"/>
  <c r="Q26" i="1"/>
  <c r="L24" i="7"/>
  <c r="M26" i="1"/>
  <c r="K24" i="7"/>
  <c r="L26" i="1"/>
  <c r="J24" i="7"/>
  <c r="K26" i="1"/>
  <c r="I24" i="7"/>
  <c r="J26" i="1"/>
  <c r="H24" i="7"/>
  <c r="I26" i="1"/>
  <c r="G24" i="7"/>
  <c r="H26" i="1"/>
  <c r="AA23" i="7"/>
  <c r="AB25" i="1"/>
  <c r="Z23" i="7"/>
  <c r="AA25" i="1"/>
  <c r="Y23" i="7"/>
  <c r="Z25" i="1"/>
  <c r="X23" i="7"/>
  <c r="Y25" i="1"/>
  <c r="S23" i="7"/>
  <c r="T25" i="1"/>
  <c r="R23" i="7"/>
  <c r="S25" i="1"/>
  <c r="Q23" i="7"/>
  <c r="R25" i="1"/>
  <c r="P23" i="7"/>
  <c r="Q25" i="1"/>
  <c r="L23" i="7"/>
  <c r="M25" i="1"/>
  <c r="K23" i="7"/>
  <c r="L25" i="1"/>
  <c r="J23" i="7"/>
  <c r="K25" i="1"/>
  <c r="I23" i="7"/>
  <c r="J25" i="1"/>
  <c r="H23" i="7"/>
  <c r="I25" i="1"/>
  <c r="G23" i="7"/>
  <c r="H25" i="1"/>
  <c r="AA22" i="7"/>
  <c r="AB24" i="1"/>
  <c r="Z22" i="7"/>
  <c r="AA24" i="1"/>
  <c r="Y22" i="7"/>
  <c r="Z24" i="1"/>
  <c r="X22" i="7"/>
  <c r="Y24" i="1"/>
  <c r="S22" i="7"/>
  <c r="T24" i="1"/>
  <c r="R22" i="7"/>
  <c r="S24" i="1"/>
  <c r="Q22" i="7"/>
  <c r="R24" i="1"/>
  <c r="P22" i="7"/>
  <c r="Q24" i="1"/>
  <c r="L22" i="7"/>
  <c r="M24" i="1"/>
  <c r="K22" i="7"/>
  <c r="L24" i="1"/>
  <c r="J22" i="7"/>
  <c r="K24" i="1"/>
  <c r="I22" i="7"/>
  <c r="J24" i="1"/>
  <c r="H22" i="7"/>
  <c r="I24" i="1"/>
  <c r="G22" i="7"/>
  <c r="H24" i="1"/>
  <c r="AA21" i="7"/>
  <c r="AB23" i="1"/>
  <c r="Z21" i="7"/>
  <c r="AA23" i="1"/>
  <c r="Y21" i="7"/>
  <c r="Z23" i="1"/>
  <c r="X21" i="7"/>
  <c r="Y23" i="1"/>
  <c r="S21" i="7"/>
  <c r="T23" i="1"/>
  <c r="R21" i="7"/>
  <c r="S23" i="1"/>
  <c r="Q21" i="7"/>
  <c r="R23" i="1"/>
  <c r="P21" i="7"/>
  <c r="Q23" i="1"/>
  <c r="L21" i="7"/>
  <c r="M23" i="1"/>
  <c r="K21" i="7"/>
  <c r="L23" i="1"/>
  <c r="J21" i="7"/>
  <c r="K23" i="1"/>
  <c r="I21" i="7"/>
  <c r="J23" i="1"/>
  <c r="H21" i="7"/>
  <c r="I23" i="1"/>
  <c r="G21" i="7"/>
  <c r="H23" i="1"/>
  <c r="AA20" i="7"/>
  <c r="AB22" i="1"/>
  <c r="Z20" i="7"/>
  <c r="AA22" i="1"/>
  <c r="Y20" i="7"/>
  <c r="Z22" i="1"/>
  <c r="X20" i="7"/>
  <c r="Y22" i="1"/>
  <c r="S20" i="7"/>
  <c r="T22" i="1"/>
  <c r="R20" i="7"/>
  <c r="S22" i="1"/>
  <c r="Q20" i="7"/>
  <c r="R22" i="1"/>
  <c r="P20" i="7"/>
  <c r="Q22" i="1"/>
  <c r="L20" i="7"/>
  <c r="M22" i="1"/>
  <c r="K20" i="7"/>
  <c r="L22" i="1"/>
  <c r="J20" i="7"/>
  <c r="K22" i="1"/>
  <c r="I20" i="7"/>
  <c r="J22" i="1"/>
  <c r="H20" i="7"/>
  <c r="I22" i="1"/>
  <c r="G20" i="7"/>
  <c r="H22" i="1"/>
  <c r="AA19" i="7"/>
  <c r="AB21" i="1"/>
  <c r="Z19" i="7"/>
  <c r="AA21" i="1"/>
  <c r="Y19" i="7"/>
  <c r="Z21" i="1"/>
  <c r="X19" i="7"/>
  <c r="Y21" i="1"/>
  <c r="S19" i="7"/>
  <c r="T21" i="1"/>
  <c r="R19" i="7"/>
  <c r="S21" i="1"/>
  <c r="Q19" i="7"/>
  <c r="R21" i="1"/>
  <c r="P19" i="7"/>
  <c r="Q21" i="1"/>
  <c r="L19" i="7"/>
  <c r="M21" i="1"/>
  <c r="K19" i="7"/>
  <c r="L21" i="1"/>
  <c r="J19" i="7"/>
  <c r="K21" i="1"/>
  <c r="I19" i="7"/>
  <c r="J21" i="1"/>
  <c r="H19" i="7"/>
  <c r="I21" i="1"/>
  <c r="G19" i="7"/>
  <c r="H21" i="1"/>
  <c r="AA18" i="7"/>
  <c r="AB20" i="1"/>
  <c r="Z18" i="7"/>
  <c r="AA20" i="1"/>
  <c r="Y18" i="7"/>
  <c r="Z20" i="1"/>
  <c r="X18" i="7"/>
  <c r="Y20" i="1"/>
  <c r="S18" i="7"/>
  <c r="T20" i="1"/>
  <c r="R18" i="7"/>
  <c r="S20" i="1"/>
  <c r="Q18" i="7"/>
  <c r="R20" i="1"/>
  <c r="P18" i="7"/>
  <c r="Q20" i="1"/>
  <c r="L18" i="7"/>
  <c r="M20" i="1"/>
  <c r="K18" i="7"/>
  <c r="L20" i="1"/>
  <c r="J18" i="7"/>
  <c r="K20" i="1"/>
  <c r="I18" i="7"/>
  <c r="J20" i="1"/>
  <c r="H18" i="7"/>
  <c r="I20" i="1"/>
  <c r="G18" i="7"/>
  <c r="H20" i="1"/>
  <c r="AA17" i="7"/>
  <c r="AB19" i="1"/>
  <c r="Z17" i="7"/>
  <c r="AA19" i="1"/>
  <c r="Y17" i="7"/>
  <c r="Z19" i="1"/>
  <c r="X17" i="7"/>
  <c r="Y19" i="1"/>
  <c r="S17" i="7"/>
  <c r="T19" i="1"/>
  <c r="R17" i="7"/>
  <c r="S19" i="1"/>
  <c r="Q17" i="7"/>
  <c r="R19" i="1"/>
  <c r="P17" i="7"/>
  <c r="Q19" i="1"/>
  <c r="L17" i="7"/>
  <c r="M19" i="1"/>
  <c r="K17" i="7"/>
  <c r="L19" i="1"/>
  <c r="J17" i="7"/>
  <c r="K19" i="1"/>
  <c r="I17" i="7"/>
  <c r="J19" i="1"/>
  <c r="H17" i="7"/>
  <c r="I19" i="1"/>
  <c r="G17" i="7"/>
  <c r="H19" i="1"/>
  <c r="AA16" i="7"/>
  <c r="AB18" i="1"/>
  <c r="Z16" i="7"/>
  <c r="AA18" i="1"/>
  <c r="Y16" i="7"/>
  <c r="Z18" i="1"/>
  <c r="X16" i="7"/>
  <c r="Y18" i="1"/>
  <c r="S16" i="7"/>
  <c r="T18" i="1"/>
  <c r="R16" i="7"/>
  <c r="S18" i="1"/>
  <c r="Q16" i="7"/>
  <c r="R18" i="1"/>
  <c r="P16" i="7"/>
  <c r="Q18" i="1"/>
  <c r="L16" i="7"/>
  <c r="M18" i="1"/>
  <c r="K16" i="7"/>
  <c r="L18" i="1"/>
  <c r="J16" i="7"/>
  <c r="K18" i="1"/>
  <c r="I16" i="7"/>
  <c r="J18" i="1"/>
  <c r="H16" i="7"/>
  <c r="I18" i="1"/>
  <c r="G16" i="7"/>
  <c r="H18" i="1"/>
  <c r="AA15" i="7"/>
  <c r="AB17" i="1"/>
  <c r="Z15" i="7"/>
  <c r="AA17" i="1"/>
  <c r="Y15" i="7"/>
  <c r="Z17" i="1"/>
  <c r="X15" i="7"/>
  <c r="Y17" i="1"/>
  <c r="S15" i="7"/>
  <c r="T17" i="1"/>
  <c r="R15" i="7"/>
  <c r="S17" i="1"/>
  <c r="Q15" i="7"/>
  <c r="R17" i="1"/>
  <c r="P15" i="7"/>
  <c r="Q17" i="1"/>
  <c r="L15" i="7"/>
  <c r="M17" i="1"/>
  <c r="K15" i="7"/>
  <c r="L17" i="1"/>
  <c r="J15" i="7"/>
  <c r="K17" i="1"/>
  <c r="I15" i="7"/>
  <c r="J17" i="1"/>
  <c r="H15" i="7"/>
  <c r="I17" i="1"/>
  <c r="G15" i="7"/>
  <c r="H17" i="1"/>
  <c r="AA14" i="7"/>
  <c r="AB16" i="1"/>
  <c r="Z14" i="7"/>
  <c r="AA16" i="1"/>
  <c r="Y14" i="7"/>
  <c r="Z16" i="1"/>
  <c r="X14" i="7"/>
  <c r="Y16" i="1"/>
  <c r="S14" i="7"/>
  <c r="T16" i="1"/>
  <c r="R14" i="7"/>
  <c r="S16" i="1"/>
  <c r="Q14" i="7"/>
  <c r="R16" i="1"/>
  <c r="P14" i="7"/>
  <c r="Q16" i="1"/>
  <c r="L14" i="7"/>
  <c r="M16" i="1"/>
  <c r="K14" i="7"/>
  <c r="L16" i="1"/>
  <c r="J14" i="7"/>
  <c r="K16" i="1"/>
  <c r="I14" i="7"/>
  <c r="J16" i="1"/>
  <c r="H14" i="7"/>
  <c r="I16" i="1"/>
  <c r="G14" i="7"/>
  <c r="H16" i="1"/>
  <c r="AA13" i="7"/>
  <c r="AB15" i="1"/>
  <c r="Z13" i="7"/>
  <c r="AA15" i="1"/>
  <c r="Y13" i="7"/>
  <c r="Z15" i="1"/>
  <c r="X13" i="7"/>
  <c r="Y15" i="1"/>
  <c r="S13" i="7"/>
  <c r="T15" i="1"/>
  <c r="R13" i="7"/>
  <c r="S15" i="1"/>
  <c r="Q13" i="7"/>
  <c r="R15" i="1"/>
  <c r="P13" i="7"/>
  <c r="Q15" i="1"/>
  <c r="L13" i="7"/>
  <c r="M15" i="1"/>
  <c r="K13" i="7"/>
  <c r="L15" i="1"/>
  <c r="J13" i="7"/>
  <c r="K15" i="1"/>
  <c r="I13" i="7"/>
  <c r="J15" i="1"/>
  <c r="H13" i="7"/>
  <c r="I15" i="1"/>
  <c r="G13" i="7"/>
  <c r="H15" i="1"/>
  <c r="AA12" i="7"/>
  <c r="AB14" i="1"/>
  <c r="Z12" i="7"/>
  <c r="AA14" i="1"/>
  <c r="Y12" i="7"/>
  <c r="Z14" i="1"/>
  <c r="X12" i="7"/>
  <c r="Y14" i="1"/>
  <c r="S12" i="7"/>
  <c r="T14" i="1"/>
  <c r="R12" i="7"/>
  <c r="S14" i="1"/>
  <c r="Q12" i="7"/>
  <c r="R14" i="1"/>
  <c r="P12" i="7"/>
  <c r="Q14" i="1"/>
  <c r="L12" i="7"/>
  <c r="M14" i="1"/>
  <c r="K12" i="7"/>
  <c r="L14" i="1"/>
  <c r="J12" i="7"/>
  <c r="K14" i="1"/>
  <c r="I12" i="7"/>
  <c r="J14" i="1"/>
  <c r="H12" i="7"/>
  <c r="I14" i="1"/>
  <c r="G12" i="7"/>
  <c r="H14" i="1"/>
  <c r="AA11" i="7"/>
  <c r="AB13" i="1"/>
  <c r="Z11" i="7"/>
  <c r="AA13" i="1"/>
  <c r="Y11" i="7"/>
  <c r="Z13" i="1"/>
  <c r="X11" i="7"/>
  <c r="Y13" i="1"/>
  <c r="S11" i="7"/>
  <c r="T13" i="1"/>
  <c r="R11" i="7"/>
  <c r="S13" i="1"/>
  <c r="Q11" i="7"/>
  <c r="R13" i="1"/>
  <c r="P11" i="7"/>
  <c r="Q13" i="1"/>
  <c r="L11" i="7"/>
  <c r="M13" i="1"/>
  <c r="K11" i="7"/>
  <c r="L13" i="1"/>
  <c r="J11" i="7"/>
  <c r="K13" i="1"/>
  <c r="I11" i="7"/>
  <c r="J13" i="1"/>
  <c r="H11" i="7"/>
  <c r="I13" i="1"/>
  <c r="G11" i="7"/>
  <c r="H13" i="1"/>
  <c r="AA10" i="7"/>
  <c r="AB12" i="1"/>
  <c r="Z10" i="7"/>
  <c r="AA12" i="1"/>
  <c r="Y10" i="7"/>
  <c r="Z12" i="1"/>
  <c r="X10" i="7"/>
  <c r="Y12" i="1"/>
  <c r="S10" i="7"/>
  <c r="T12" i="1"/>
  <c r="R10" i="7"/>
  <c r="S12" i="1"/>
  <c r="Q10" i="7"/>
  <c r="R12" i="1"/>
  <c r="P10" i="7"/>
  <c r="Q12" i="1"/>
  <c r="L10" i="7"/>
  <c r="M12" i="1"/>
  <c r="K10" i="7"/>
  <c r="L12" i="1"/>
  <c r="J10" i="7"/>
  <c r="K12" i="1"/>
  <c r="I10" i="7"/>
  <c r="J12" i="1"/>
  <c r="H10" i="7"/>
  <c r="I12" i="1"/>
  <c r="G10" i="7"/>
  <c r="H12" i="1"/>
  <c r="AA9" i="7"/>
  <c r="AB11" i="1"/>
  <c r="Z9" i="7"/>
  <c r="AA11" i="1"/>
  <c r="Y9" i="7"/>
  <c r="Z11" i="1"/>
  <c r="X9" i="7"/>
  <c r="Y11" i="1"/>
  <c r="S9" i="7"/>
  <c r="T11" i="1"/>
  <c r="R9" i="7"/>
  <c r="S11" i="1"/>
  <c r="Q9" i="7"/>
  <c r="R11" i="1"/>
  <c r="P9" i="7"/>
  <c r="Q11" i="1"/>
  <c r="L9" i="7"/>
  <c r="M11" i="1"/>
  <c r="K9" i="7"/>
  <c r="L11" i="1"/>
  <c r="J9" i="7"/>
  <c r="K11" i="1"/>
  <c r="I9" i="7"/>
  <c r="J11" i="1"/>
  <c r="H9" i="7"/>
  <c r="I11" i="1"/>
  <c r="G9" i="7"/>
  <c r="H11" i="1"/>
  <c r="AA8" i="7"/>
  <c r="AB10" i="1"/>
  <c r="Z8" i="7"/>
  <c r="AA10" i="1"/>
  <c r="Y8" i="7"/>
  <c r="Z10" i="1"/>
  <c r="X8" i="7"/>
  <c r="Y10" i="1"/>
  <c r="S8" i="7"/>
  <c r="T10" i="1"/>
  <c r="R8" i="7"/>
  <c r="S10" i="1"/>
  <c r="Q8" i="7"/>
  <c r="R10" i="1"/>
  <c r="P8" i="7"/>
  <c r="Q10" i="1"/>
  <c r="L8" i="7"/>
  <c r="M10" i="1"/>
  <c r="K8" i="7"/>
  <c r="L10" i="1"/>
  <c r="J8" i="7"/>
  <c r="K10" i="1"/>
  <c r="I8" i="7"/>
  <c r="J10" i="1"/>
  <c r="H8" i="7"/>
  <c r="I10" i="1"/>
  <c r="G8" i="7"/>
  <c r="H10" i="1"/>
  <c r="AA7" i="7"/>
  <c r="AB9" i="1"/>
  <c r="Z7" i="7"/>
  <c r="AA9" i="1"/>
  <c r="Y7" i="7"/>
  <c r="Z9" i="1"/>
  <c r="X7" i="7"/>
  <c r="Y9" i="1"/>
  <c r="S7" i="7"/>
  <c r="T9" i="1"/>
  <c r="R7" i="7"/>
  <c r="S9" i="1"/>
  <c r="Q7" i="7"/>
  <c r="R9" i="1"/>
  <c r="P7" i="7"/>
  <c r="Q9" i="1"/>
  <c r="L7" i="7"/>
  <c r="M9" i="1"/>
  <c r="K7" i="7"/>
  <c r="L9" i="1"/>
  <c r="J7" i="7"/>
  <c r="K9" i="1"/>
  <c r="I7" i="7"/>
  <c r="J9" i="1"/>
  <c r="H7" i="7"/>
  <c r="I9" i="1"/>
  <c r="G7" i="7"/>
  <c r="H9" i="1"/>
  <c r="AA6" i="7"/>
  <c r="AB8" i="1"/>
  <c r="Z6" i="7"/>
  <c r="AA8" i="1"/>
  <c r="Y6" i="7"/>
  <c r="Z8" i="1"/>
  <c r="X6" i="7"/>
  <c r="Y8" i="1"/>
  <c r="S6" i="7"/>
  <c r="T8" i="1"/>
  <c r="R6" i="7"/>
  <c r="S8" i="1"/>
  <c r="Q6" i="7"/>
  <c r="R8" i="1"/>
  <c r="P6" i="7"/>
  <c r="Q8" i="1"/>
  <c r="L6" i="7"/>
  <c r="M8" i="1"/>
  <c r="K6" i="7"/>
  <c r="L8" i="1"/>
  <c r="J6" i="7"/>
  <c r="K8" i="1"/>
  <c r="I6" i="7"/>
  <c r="J8" i="1"/>
  <c r="H6" i="7"/>
  <c r="I8" i="1"/>
  <c r="G6" i="7"/>
  <c r="H8" i="1"/>
  <c r="S5" i="7"/>
  <c r="T7" i="1"/>
  <c r="R5" i="7"/>
  <c r="S7" i="1"/>
  <c r="Q5" i="7"/>
  <c r="R7" i="1"/>
  <c r="P5" i="7"/>
  <c r="Q7" i="1"/>
  <c r="L5" i="7"/>
  <c r="M7" i="1"/>
  <c r="K5" i="7"/>
  <c r="L7" i="1"/>
  <c r="J5" i="7"/>
  <c r="K7" i="1"/>
  <c r="I5" i="7"/>
  <c r="J7" i="1"/>
  <c r="H5" i="7"/>
  <c r="I7" i="1"/>
  <c r="G5" i="7"/>
  <c r="H7" i="1"/>
  <c r="S4" i="7"/>
  <c r="T6" i="1"/>
  <c r="R4" i="7"/>
  <c r="S6" i="1"/>
  <c r="Q4" i="7"/>
  <c r="R6" i="1"/>
  <c r="P4" i="7"/>
  <c r="Q6" i="1"/>
  <c r="L4" i="7"/>
  <c r="M6" i="1"/>
  <c r="K4" i="7"/>
  <c r="L6" i="1"/>
  <c r="J4" i="7"/>
  <c r="K6" i="1"/>
  <c r="I4" i="7"/>
  <c r="J6" i="1"/>
  <c r="H4" i="7"/>
  <c r="I6" i="1"/>
  <c r="G4" i="7"/>
  <c r="H6" i="1"/>
  <c r="S3" i="7"/>
  <c r="T5" i="1"/>
  <c r="R3" i="7"/>
  <c r="S5" i="1"/>
  <c r="Q3" i="7"/>
  <c r="R5" i="1"/>
  <c r="P3" i="7"/>
  <c r="Q5" i="1"/>
  <c r="L3" i="7"/>
  <c r="M5" i="1"/>
  <c r="K3" i="7"/>
  <c r="L5" i="1"/>
  <c r="J3" i="7"/>
  <c r="K5" i="1"/>
  <c r="I3" i="7"/>
  <c r="J5" i="1"/>
  <c r="H3" i="7"/>
  <c r="I5" i="1"/>
  <c r="G3" i="7"/>
  <c r="H5" i="1"/>
  <c r="S2" i="7"/>
  <c r="T4" i="1"/>
  <c r="R2" i="7"/>
  <c r="S4" i="1"/>
  <c r="Q2" i="7"/>
  <c r="R4" i="1"/>
  <c r="P2" i="7"/>
  <c r="Q4" i="1"/>
  <c r="L2" i="7"/>
  <c r="M4" i="1"/>
  <c r="K2" i="7"/>
  <c r="L4" i="1"/>
  <c r="J2" i="7"/>
  <c r="K4" i="1"/>
  <c r="I2" i="7"/>
  <c r="J4" i="1"/>
  <c r="H2" i="7"/>
  <c r="I4" i="1"/>
  <c r="G2" i="7"/>
  <c r="H4" i="1"/>
  <c r="A49" i="7"/>
  <c r="C49" i="7"/>
  <c r="A48" i="7"/>
  <c r="C48" i="7"/>
  <c r="A47" i="7"/>
  <c r="C47" i="7"/>
  <c r="A46" i="7"/>
  <c r="C46" i="7"/>
  <c r="A45" i="7"/>
  <c r="C45" i="7"/>
  <c r="A44" i="7"/>
  <c r="C44" i="7"/>
  <c r="A43" i="7"/>
  <c r="C43" i="7"/>
  <c r="A42" i="7"/>
  <c r="C42" i="7"/>
  <c r="A41" i="7"/>
  <c r="C41" i="7"/>
  <c r="A40" i="7"/>
  <c r="C40" i="7"/>
  <c r="A39" i="7"/>
  <c r="C39" i="7"/>
  <c r="A38"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A52" i="7"/>
  <c r="A56" i="7"/>
  <c r="A60" i="7"/>
  <c r="A51" i="7"/>
  <c r="A55" i="7"/>
  <c r="A59" i="7"/>
  <c r="A50" i="7"/>
  <c r="A54" i="7"/>
  <c r="A58" i="7"/>
  <c r="A53" i="7"/>
  <c r="A57" i="7"/>
  <c r="A61" i="7"/>
  <c r="A65" i="7"/>
  <c r="C53" i="7"/>
  <c r="C55" i="7"/>
  <c r="A67" i="7"/>
  <c r="A70" i="7"/>
  <c r="C58" i="7"/>
  <c r="A63" i="7"/>
  <c r="C51" i="7"/>
  <c r="A72" i="7"/>
  <c r="C60" i="7"/>
  <c r="A73" i="7"/>
  <c r="C61" i="7"/>
  <c r="A66" i="7"/>
  <c r="C54" i="7"/>
  <c r="A68" i="7"/>
  <c r="C56" i="7"/>
  <c r="C57" i="7"/>
  <c r="A69" i="7"/>
  <c r="C50" i="7"/>
  <c r="A62" i="7"/>
  <c r="C59" i="7"/>
  <c r="A71" i="7"/>
  <c r="C52" i="7"/>
  <c r="A64" i="7"/>
  <c r="C68" i="7"/>
  <c r="A80" i="7"/>
  <c r="C73" i="7"/>
  <c r="A85" i="7"/>
  <c r="C63" i="7"/>
  <c r="A75" i="7"/>
  <c r="A83" i="7"/>
  <c r="C71" i="7"/>
  <c r="A81" i="7"/>
  <c r="C69" i="7"/>
  <c r="A78" i="7"/>
  <c r="C66" i="7"/>
  <c r="C72" i="7"/>
  <c r="A84" i="7"/>
  <c r="C70" i="7"/>
  <c r="A82" i="7"/>
  <c r="A77" i="7"/>
  <c r="C65" i="7"/>
  <c r="A76" i="7"/>
  <c r="C64" i="7"/>
  <c r="A74" i="7"/>
  <c r="C62" i="7"/>
  <c r="A79" i="7"/>
  <c r="C67" i="7"/>
  <c r="C79" i="7"/>
  <c r="A91" i="7"/>
  <c r="C76" i="7"/>
  <c r="A88" i="7"/>
  <c r="C78" i="7"/>
  <c r="A90" i="7"/>
  <c r="C83" i="7"/>
  <c r="A95" i="7"/>
  <c r="C84" i="7"/>
  <c r="A96" i="7"/>
  <c r="C75" i="7"/>
  <c r="A87" i="7"/>
  <c r="C80" i="7"/>
  <c r="A92" i="7"/>
  <c r="C74" i="7"/>
  <c r="A86" i="7"/>
  <c r="C77" i="7"/>
  <c r="A89" i="7"/>
  <c r="C81" i="7"/>
  <c r="A93" i="7"/>
  <c r="C82" i="7"/>
  <c r="A94" i="7"/>
  <c r="C85" i="7"/>
  <c r="A97" i="7"/>
  <c r="C93" i="7"/>
  <c r="A105" i="7"/>
  <c r="C87" i="7"/>
  <c r="A99" i="7"/>
  <c r="C88" i="7"/>
  <c r="A100" i="7"/>
  <c r="C94" i="7"/>
  <c r="A106" i="7"/>
  <c r="C89" i="7"/>
  <c r="A101" i="7"/>
  <c r="C92" i="7"/>
  <c r="A104" i="7"/>
  <c r="C96" i="7"/>
  <c r="A108" i="7"/>
  <c r="C90" i="7"/>
  <c r="A102" i="7"/>
  <c r="C91" i="7"/>
  <c r="A103" i="7"/>
  <c r="C97" i="7"/>
  <c r="A109" i="7"/>
  <c r="C86" i="7"/>
  <c r="A98" i="7"/>
  <c r="C95" i="7"/>
  <c r="A107" i="7"/>
  <c r="C107" i="7"/>
  <c r="A119" i="7"/>
  <c r="C102" i="7"/>
  <c r="A114" i="7"/>
  <c r="C106" i="7"/>
  <c r="A118" i="7"/>
  <c r="C98" i="7"/>
  <c r="A110" i="7"/>
  <c r="C103" i="7"/>
  <c r="A115" i="7"/>
  <c r="C108" i="7"/>
  <c r="A120" i="7"/>
  <c r="C101" i="7"/>
  <c r="A113" i="7"/>
  <c r="C100" i="7"/>
  <c r="A112" i="7"/>
  <c r="C105" i="7"/>
  <c r="A117" i="7"/>
  <c r="C109" i="7"/>
  <c r="A121" i="7"/>
  <c r="C104" i="7"/>
  <c r="A116" i="7"/>
  <c r="C99" i="7"/>
  <c r="A111" i="7"/>
  <c r="C111" i="7"/>
  <c r="A123" i="7"/>
  <c r="C121" i="7"/>
  <c r="A133" i="7"/>
  <c r="C112" i="7"/>
  <c r="A124" i="7"/>
  <c r="C120" i="7"/>
  <c r="A132" i="7"/>
  <c r="C110" i="7"/>
  <c r="A122" i="7"/>
  <c r="C114" i="7"/>
  <c r="A126" i="7"/>
  <c r="C116" i="7"/>
  <c r="A128" i="7"/>
  <c r="C117" i="7"/>
  <c r="A129" i="7"/>
  <c r="C113" i="7"/>
  <c r="A125" i="7"/>
  <c r="C115" i="7"/>
  <c r="A127" i="7"/>
  <c r="C118" i="7"/>
  <c r="A130" i="7"/>
  <c r="C119" i="7"/>
  <c r="A131" i="7"/>
  <c r="C131" i="7"/>
  <c r="A143" i="7"/>
  <c r="C127" i="7"/>
  <c r="A139" i="7"/>
  <c r="C129" i="7"/>
  <c r="A141" i="7"/>
  <c r="C126" i="7"/>
  <c r="A138" i="7"/>
  <c r="C132" i="7"/>
  <c r="A144" i="7"/>
  <c r="C133" i="7"/>
  <c r="A145" i="7"/>
  <c r="C130" i="7"/>
  <c r="A142" i="7"/>
  <c r="C125" i="7"/>
  <c r="A137" i="7"/>
  <c r="C128" i="7"/>
  <c r="A140" i="7"/>
  <c r="C122" i="7"/>
  <c r="A134" i="7"/>
  <c r="C124" i="7"/>
  <c r="A136" i="7"/>
  <c r="C123" i="7"/>
  <c r="A135" i="7"/>
  <c r="C135" i="7"/>
  <c r="A147" i="7"/>
  <c r="C137" i="7"/>
  <c r="A149" i="7"/>
  <c r="C138" i="7"/>
  <c r="A150" i="7"/>
  <c r="C136" i="7"/>
  <c r="A148" i="7"/>
  <c r="C140" i="7"/>
  <c r="A152" i="7"/>
  <c r="C142" i="7"/>
  <c r="A154" i="7"/>
  <c r="C144" i="7"/>
  <c r="A156" i="7"/>
  <c r="C141" i="7"/>
  <c r="A153" i="7"/>
  <c r="C143" i="7"/>
  <c r="A155" i="7"/>
  <c r="C134" i="7"/>
  <c r="A146" i="7"/>
  <c r="C145" i="7"/>
  <c r="A157" i="7"/>
  <c r="C139" i="7"/>
  <c r="A151" i="7"/>
  <c r="C151" i="7"/>
  <c r="A163" i="7"/>
  <c r="C146" i="7"/>
  <c r="A158" i="7"/>
  <c r="C153" i="7"/>
  <c r="A165" i="7"/>
  <c r="C154" i="7"/>
  <c r="A166" i="7"/>
  <c r="C148" i="7"/>
  <c r="A160" i="7"/>
  <c r="C149" i="7"/>
  <c r="A161" i="7"/>
  <c r="C157" i="7"/>
  <c r="A169" i="7"/>
  <c r="C155" i="7"/>
  <c r="A167" i="7"/>
  <c r="C156" i="7"/>
  <c r="A168" i="7"/>
  <c r="C152" i="7"/>
  <c r="A164" i="7"/>
  <c r="C150" i="7"/>
  <c r="A162" i="7"/>
  <c r="C147" i="7"/>
  <c r="A159" i="7"/>
  <c r="C159" i="7"/>
  <c r="A171" i="7"/>
  <c r="C167" i="7"/>
  <c r="A179" i="7"/>
  <c r="C161" i="7"/>
  <c r="A173" i="7"/>
  <c r="C158" i="7"/>
  <c r="A170" i="7"/>
  <c r="C162" i="7"/>
  <c r="A174" i="7"/>
  <c r="C168" i="7"/>
  <c r="A180" i="7"/>
  <c r="C169" i="7"/>
  <c r="A181" i="7"/>
  <c r="C160" i="7"/>
  <c r="A172" i="7"/>
  <c r="C165" i="7"/>
  <c r="A177" i="7"/>
  <c r="C163" i="7"/>
  <c r="A175" i="7"/>
  <c r="C164" i="7"/>
  <c r="A176" i="7"/>
  <c r="C166" i="7"/>
  <c r="A178" i="7"/>
  <c r="C178" i="7"/>
  <c r="A190" i="7"/>
  <c r="C175" i="7"/>
  <c r="A187" i="7"/>
  <c r="C172" i="7"/>
  <c r="A184" i="7"/>
  <c r="C180" i="7"/>
  <c r="A192" i="7"/>
  <c r="C170" i="7"/>
  <c r="A182" i="7"/>
  <c r="C179" i="7"/>
  <c r="A191" i="7"/>
  <c r="C176" i="7"/>
  <c r="A188" i="7"/>
  <c r="C177" i="7"/>
  <c r="A189" i="7"/>
  <c r="C181" i="7"/>
  <c r="A193" i="7"/>
  <c r="C174" i="7"/>
  <c r="A186" i="7"/>
  <c r="C173" i="7"/>
  <c r="A185" i="7"/>
  <c r="C171" i="7"/>
  <c r="A183" i="7"/>
  <c r="C183" i="7"/>
  <c r="A195" i="7"/>
  <c r="C186" i="7"/>
  <c r="A198" i="7"/>
  <c r="C189" i="7"/>
  <c r="A201" i="7"/>
  <c r="C201" i="7"/>
  <c r="C191" i="7"/>
  <c r="A203" i="7"/>
  <c r="C203" i="7"/>
  <c r="C187" i="7"/>
  <c r="A199" i="7"/>
  <c r="C185" i="7"/>
  <c r="A197" i="7"/>
  <c r="C193" i="7"/>
  <c r="A205" i="7"/>
  <c r="C205" i="7"/>
  <c r="C188" i="7"/>
  <c r="A200" i="7"/>
  <c r="C182" i="7"/>
  <c r="A194" i="7"/>
  <c r="C184" i="7"/>
  <c r="A196" i="7"/>
  <c r="C190" i="7"/>
  <c r="A202" i="7"/>
  <c r="C202" i="7"/>
  <c r="C192" i="7"/>
  <c r="A204" i="7"/>
  <c r="C204" i="7"/>
  <c r="C196" i="7"/>
  <c r="A208" i="7"/>
  <c r="C208" i="7"/>
  <c r="C200" i="7"/>
  <c r="A212" i="7"/>
  <c r="C212" i="7"/>
  <c r="C197" i="7"/>
  <c r="A209" i="7"/>
  <c r="C209" i="7"/>
  <c r="C198" i="7"/>
  <c r="A210" i="7"/>
  <c r="C210" i="7"/>
  <c r="C194" i="7"/>
  <c r="A206" i="7"/>
  <c r="C206" i="7"/>
  <c r="C199" i="7"/>
  <c r="A211" i="7"/>
  <c r="C211" i="7"/>
  <c r="C195" i="7"/>
  <c r="A207" i="7"/>
  <c r="C207" i="7"/>
  <c r="Z33" i="10"/>
  <c r="AA218" i="10"/>
  <c r="Z218" i="10"/>
  <c r="Y218" i="10"/>
  <c r="X218" i="10"/>
  <c r="U218" i="10"/>
  <c r="AA217" i="10"/>
  <c r="Z217" i="10"/>
  <c r="Y217" i="10"/>
  <c r="X217" i="10"/>
  <c r="U217" i="10"/>
  <c r="AA216" i="10"/>
  <c r="Z216" i="10"/>
  <c r="Y216" i="10"/>
  <c r="X216" i="10"/>
  <c r="U216" i="10"/>
  <c r="AA215" i="10"/>
  <c r="Z215" i="10"/>
  <c r="Y215" i="10"/>
  <c r="X215" i="10"/>
  <c r="U215" i="10"/>
  <c r="AA214" i="10"/>
  <c r="Z214" i="10"/>
  <c r="Y214" i="10"/>
  <c r="X214" i="10"/>
  <c r="U214" i="10"/>
  <c r="S212" i="10"/>
  <c r="R212" i="10"/>
  <c r="Q212" i="10"/>
  <c r="P212" i="10"/>
  <c r="L212" i="10"/>
  <c r="K212" i="10"/>
  <c r="J212" i="10"/>
  <c r="I212" i="10"/>
  <c r="H212" i="10"/>
  <c r="G212" i="10"/>
  <c r="S211" i="10"/>
  <c r="R211" i="10"/>
  <c r="Q211" i="10"/>
  <c r="P211" i="10"/>
  <c r="L211" i="10"/>
  <c r="K211" i="10"/>
  <c r="J211" i="10"/>
  <c r="I211" i="10"/>
  <c r="H211" i="10"/>
  <c r="G211" i="10"/>
  <c r="S210" i="10"/>
  <c r="R210" i="10"/>
  <c r="Q210" i="10"/>
  <c r="P210" i="10"/>
  <c r="L210" i="10"/>
  <c r="K210" i="10"/>
  <c r="J210" i="10"/>
  <c r="I210" i="10"/>
  <c r="H210" i="10"/>
  <c r="G210" i="10"/>
  <c r="S209" i="10"/>
  <c r="R209" i="10"/>
  <c r="Q209" i="10"/>
  <c r="P209" i="10"/>
  <c r="L209" i="10"/>
  <c r="K209" i="10"/>
  <c r="J209" i="10"/>
  <c r="I209" i="10"/>
  <c r="H209" i="10"/>
  <c r="G209" i="10"/>
  <c r="S208" i="10"/>
  <c r="R208" i="10"/>
  <c r="Q208" i="10"/>
  <c r="P208" i="10"/>
  <c r="L208" i="10"/>
  <c r="K208" i="10"/>
  <c r="J208" i="10"/>
  <c r="I208" i="10"/>
  <c r="H208" i="10"/>
  <c r="G208" i="10"/>
  <c r="S207" i="10"/>
  <c r="R207" i="10"/>
  <c r="Q207" i="10"/>
  <c r="P207" i="10"/>
  <c r="L207" i="10"/>
  <c r="K207" i="10"/>
  <c r="J207" i="10"/>
  <c r="I207" i="10"/>
  <c r="H207" i="10"/>
  <c r="G207" i="10"/>
  <c r="S206" i="10"/>
  <c r="R206" i="10"/>
  <c r="Q206" i="10"/>
  <c r="P206" i="10"/>
  <c r="L206" i="10"/>
  <c r="K206" i="10"/>
  <c r="J206" i="10"/>
  <c r="I206" i="10"/>
  <c r="H206" i="10"/>
  <c r="G206" i="10"/>
  <c r="S205" i="10"/>
  <c r="R205" i="10"/>
  <c r="Q205" i="10"/>
  <c r="P205" i="10"/>
  <c r="L205" i="10"/>
  <c r="K205" i="10"/>
  <c r="J205" i="10"/>
  <c r="I205" i="10"/>
  <c r="H205" i="10"/>
  <c r="G205" i="10"/>
  <c r="S204" i="10"/>
  <c r="R204" i="10"/>
  <c r="Q204" i="10"/>
  <c r="P204" i="10"/>
  <c r="L204" i="10"/>
  <c r="K204" i="10"/>
  <c r="J204" i="10"/>
  <c r="I204" i="10"/>
  <c r="H204" i="10"/>
  <c r="G204" i="10"/>
  <c r="S203" i="10"/>
  <c r="R203" i="10"/>
  <c r="Q203" i="10"/>
  <c r="P203" i="10"/>
  <c r="L203" i="10"/>
  <c r="K203" i="10"/>
  <c r="J203" i="10"/>
  <c r="I203" i="10"/>
  <c r="H203" i="10"/>
  <c r="G203" i="10"/>
  <c r="S202" i="10"/>
  <c r="R202" i="10"/>
  <c r="Q202" i="10"/>
  <c r="P202" i="10"/>
  <c r="L202" i="10"/>
  <c r="K202" i="10"/>
  <c r="J202" i="10"/>
  <c r="I202" i="10"/>
  <c r="H202" i="10"/>
  <c r="G202" i="10"/>
  <c r="S201" i="10"/>
  <c r="R201" i="10"/>
  <c r="Q201" i="10"/>
  <c r="P201" i="10"/>
  <c r="L201" i="10"/>
  <c r="K201" i="10"/>
  <c r="J201" i="10"/>
  <c r="I201" i="10"/>
  <c r="H201" i="10"/>
  <c r="G201" i="10"/>
  <c r="S200" i="10"/>
  <c r="R200" i="10"/>
  <c r="Q200" i="10"/>
  <c r="P200" i="10"/>
  <c r="L200" i="10"/>
  <c r="K200" i="10"/>
  <c r="J200" i="10"/>
  <c r="I200" i="10"/>
  <c r="H200" i="10"/>
  <c r="G200" i="10"/>
  <c r="S199" i="10"/>
  <c r="R199" i="10"/>
  <c r="Q199" i="10"/>
  <c r="P199" i="10"/>
  <c r="L199" i="10"/>
  <c r="K199" i="10"/>
  <c r="J199" i="10"/>
  <c r="I199" i="10"/>
  <c r="H199" i="10"/>
  <c r="G199" i="10"/>
  <c r="S198" i="10"/>
  <c r="R198" i="10"/>
  <c r="Q198" i="10"/>
  <c r="P198" i="10"/>
  <c r="L198" i="10"/>
  <c r="K198" i="10"/>
  <c r="J198" i="10"/>
  <c r="I198" i="10"/>
  <c r="H198" i="10"/>
  <c r="G198" i="10"/>
  <c r="S197" i="10"/>
  <c r="R197" i="10"/>
  <c r="Q197" i="10"/>
  <c r="P197" i="10"/>
  <c r="L197" i="10"/>
  <c r="K197" i="10"/>
  <c r="J197" i="10"/>
  <c r="I197" i="10"/>
  <c r="H197" i="10"/>
  <c r="G197" i="10"/>
  <c r="S196" i="10"/>
  <c r="R196" i="10"/>
  <c r="Q196" i="10"/>
  <c r="P196" i="10"/>
  <c r="L196" i="10"/>
  <c r="K196" i="10"/>
  <c r="J196" i="10"/>
  <c r="I196" i="10"/>
  <c r="H196" i="10"/>
  <c r="G196" i="10"/>
  <c r="S195" i="10"/>
  <c r="R195" i="10"/>
  <c r="Q195" i="10"/>
  <c r="P195" i="10"/>
  <c r="L195" i="10"/>
  <c r="K195" i="10"/>
  <c r="J195" i="10"/>
  <c r="I195" i="10"/>
  <c r="H195" i="10"/>
  <c r="G195" i="10"/>
  <c r="S194" i="10"/>
  <c r="R194" i="10"/>
  <c r="Q194" i="10"/>
  <c r="P194" i="10"/>
  <c r="L194" i="10"/>
  <c r="K194" i="10"/>
  <c r="J194" i="10"/>
  <c r="I194" i="10"/>
  <c r="H194" i="10"/>
  <c r="G194" i="10"/>
  <c r="S193" i="10"/>
  <c r="R193" i="10"/>
  <c r="Q193" i="10"/>
  <c r="P193" i="10"/>
  <c r="L193" i="10"/>
  <c r="K193" i="10"/>
  <c r="J193" i="10"/>
  <c r="I193" i="10"/>
  <c r="H193" i="10"/>
  <c r="G193" i="10"/>
  <c r="S192" i="10"/>
  <c r="R192" i="10"/>
  <c r="Q192" i="10"/>
  <c r="P192" i="10"/>
  <c r="L192" i="10"/>
  <c r="K192" i="10"/>
  <c r="J192" i="10"/>
  <c r="I192" i="10"/>
  <c r="H192" i="10"/>
  <c r="G192" i="10"/>
  <c r="S191" i="10"/>
  <c r="R191" i="10"/>
  <c r="Q191" i="10"/>
  <c r="P191" i="10"/>
  <c r="L191" i="10"/>
  <c r="K191" i="10"/>
  <c r="J191" i="10"/>
  <c r="I191" i="10"/>
  <c r="H191" i="10"/>
  <c r="G191" i="10"/>
  <c r="S190" i="10"/>
  <c r="R190" i="10"/>
  <c r="Q190" i="10"/>
  <c r="P190" i="10"/>
  <c r="L190" i="10"/>
  <c r="K190" i="10"/>
  <c r="J190" i="10"/>
  <c r="I190" i="10"/>
  <c r="H190" i="10"/>
  <c r="G190" i="10"/>
  <c r="S189" i="10"/>
  <c r="R189" i="10"/>
  <c r="Q189" i="10"/>
  <c r="P189" i="10"/>
  <c r="L189" i="10"/>
  <c r="K189" i="10"/>
  <c r="J189" i="10"/>
  <c r="I189" i="10"/>
  <c r="H189" i="10"/>
  <c r="G189" i="10"/>
  <c r="S188" i="10"/>
  <c r="R188" i="10"/>
  <c r="Q188" i="10"/>
  <c r="P188" i="10"/>
  <c r="L188" i="10"/>
  <c r="K188" i="10"/>
  <c r="J188" i="10"/>
  <c r="I188" i="10"/>
  <c r="H188" i="10"/>
  <c r="G188" i="10"/>
  <c r="S187" i="10"/>
  <c r="R187" i="10"/>
  <c r="Q187" i="10"/>
  <c r="P187" i="10"/>
  <c r="L187" i="10"/>
  <c r="K187" i="10"/>
  <c r="J187" i="10"/>
  <c r="I187" i="10"/>
  <c r="H187" i="10"/>
  <c r="G187" i="10"/>
  <c r="S186" i="10"/>
  <c r="R186" i="10"/>
  <c r="Q186" i="10"/>
  <c r="P186" i="10"/>
  <c r="L186" i="10"/>
  <c r="K186" i="10"/>
  <c r="J186" i="10"/>
  <c r="I186" i="10"/>
  <c r="H186" i="10"/>
  <c r="G186" i="10"/>
  <c r="S185" i="10"/>
  <c r="R185" i="10"/>
  <c r="Q185" i="10"/>
  <c r="P185" i="10"/>
  <c r="L185" i="10"/>
  <c r="K185" i="10"/>
  <c r="J185" i="10"/>
  <c r="I185" i="10"/>
  <c r="H185" i="10"/>
  <c r="G185" i="10"/>
  <c r="S184" i="10"/>
  <c r="R184" i="10"/>
  <c r="Q184" i="10"/>
  <c r="P184" i="10"/>
  <c r="L184" i="10"/>
  <c r="K184" i="10"/>
  <c r="J184" i="10"/>
  <c r="I184" i="10"/>
  <c r="H184" i="10"/>
  <c r="G184" i="10"/>
  <c r="S183" i="10"/>
  <c r="R183" i="10"/>
  <c r="Q183" i="10"/>
  <c r="P183" i="10"/>
  <c r="L183" i="10"/>
  <c r="K183" i="10"/>
  <c r="J183" i="10"/>
  <c r="I183" i="10"/>
  <c r="H183" i="10"/>
  <c r="G183" i="10"/>
  <c r="S182" i="10"/>
  <c r="R182" i="10"/>
  <c r="Q182" i="10"/>
  <c r="P182" i="10"/>
  <c r="L182" i="10"/>
  <c r="K182" i="10"/>
  <c r="J182" i="10"/>
  <c r="I182" i="10"/>
  <c r="H182" i="10"/>
  <c r="G182" i="10"/>
  <c r="S181" i="10"/>
  <c r="R181" i="10"/>
  <c r="Q181" i="10"/>
  <c r="P181" i="10"/>
  <c r="L181" i="10"/>
  <c r="K181" i="10"/>
  <c r="J181" i="10"/>
  <c r="I181" i="10"/>
  <c r="H181" i="10"/>
  <c r="G181" i="10"/>
  <c r="S180" i="10"/>
  <c r="R180" i="10"/>
  <c r="Q180" i="10"/>
  <c r="P180" i="10"/>
  <c r="L180" i="10"/>
  <c r="K180" i="10"/>
  <c r="J180" i="10"/>
  <c r="I180" i="10"/>
  <c r="H180" i="10"/>
  <c r="G180" i="10"/>
  <c r="S179" i="10"/>
  <c r="R179" i="10"/>
  <c r="Q179" i="10"/>
  <c r="P179" i="10"/>
  <c r="L179" i="10"/>
  <c r="K179" i="10"/>
  <c r="J179" i="10"/>
  <c r="I179" i="10"/>
  <c r="H179" i="10"/>
  <c r="G179" i="10"/>
  <c r="S178" i="10"/>
  <c r="R178" i="10"/>
  <c r="Q178" i="10"/>
  <c r="P178" i="10"/>
  <c r="L178" i="10"/>
  <c r="K178" i="10"/>
  <c r="J178" i="10"/>
  <c r="I178" i="10"/>
  <c r="H178" i="10"/>
  <c r="G178" i="10"/>
  <c r="S177" i="10"/>
  <c r="R177" i="10"/>
  <c r="Q177" i="10"/>
  <c r="P177" i="10"/>
  <c r="L177" i="10"/>
  <c r="K177" i="10"/>
  <c r="J177" i="10"/>
  <c r="I177" i="10"/>
  <c r="H177" i="10"/>
  <c r="G177" i="10"/>
  <c r="S176" i="10"/>
  <c r="R176" i="10"/>
  <c r="Q176" i="10"/>
  <c r="P176" i="10"/>
  <c r="L176" i="10"/>
  <c r="K176" i="10"/>
  <c r="J176" i="10"/>
  <c r="I176" i="10"/>
  <c r="H176" i="10"/>
  <c r="G176" i="10"/>
  <c r="S175" i="10"/>
  <c r="R175" i="10"/>
  <c r="Q175" i="10"/>
  <c r="P175" i="10"/>
  <c r="L175" i="10"/>
  <c r="K175" i="10"/>
  <c r="J175" i="10"/>
  <c r="I175" i="10"/>
  <c r="H175" i="10"/>
  <c r="G175" i="10"/>
  <c r="S174" i="10"/>
  <c r="R174" i="10"/>
  <c r="Q174" i="10"/>
  <c r="P174" i="10"/>
  <c r="L174" i="10"/>
  <c r="K174" i="10"/>
  <c r="J174" i="10"/>
  <c r="I174" i="10"/>
  <c r="H174" i="10"/>
  <c r="G174" i="10"/>
  <c r="S173" i="10"/>
  <c r="R173" i="10"/>
  <c r="Q173" i="10"/>
  <c r="P173" i="10"/>
  <c r="L173" i="10"/>
  <c r="K173" i="10"/>
  <c r="J173" i="10"/>
  <c r="I173" i="10"/>
  <c r="H173" i="10"/>
  <c r="G173" i="10"/>
  <c r="S172" i="10"/>
  <c r="R172" i="10"/>
  <c r="Q172" i="10"/>
  <c r="P172" i="10"/>
  <c r="L172" i="10"/>
  <c r="K172" i="10"/>
  <c r="J172" i="10"/>
  <c r="I172" i="10"/>
  <c r="H172" i="10"/>
  <c r="G172" i="10"/>
  <c r="S171" i="10"/>
  <c r="R171" i="10"/>
  <c r="Q171" i="10"/>
  <c r="P171" i="10"/>
  <c r="L171" i="10"/>
  <c r="K171" i="10"/>
  <c r="J171" i="10"/>
  <c r="I171" i="10"/>
  <c r="H171" i="10"/>
  <c r="G171" i="10"/>
  <c r="S170" i="10"/>
  <c r="R170" i="10"/>
  <c r="Q170" i="10"/>
  <c r="P170" i="10"/>
  <c r="L170" i="10"/>
  <c r="K170" i="10"/>
  <c r="J170" i="10"/>
  <c r="I170" i="10"/>
  <c r="H170" i="10"/>
  <c r="G170" i="10"/>
  <c r="S169" i="10"/>
  <c r="R169" i="10"/>
  <c r="Q169" i="10"/>
  <c r="P169" i="10"/>
  <c r="L169" i="10"/>
  <c r="K169" i="10"/>
  <c r="J169" i="10"/>
  <c r="I169" i="10"/>
  <c r="H169" i="10"/>
  <c r="G169" i="10"/>
  <c r="S168" i="10"/>
  <c r="R168" i="10"/>
  <c r="Q168" i="10"/>
  <c r="P168" i="10"/>
  <c r="L168" i="10"/>
  <c r="K168" i="10"/>
  <c r="J168" i="10"/>
  <c r="I168" i="10"/>
  <c r="H168" i="10"/>
  <c r="G168" i="10"/>
  <c r="S167" i="10"/>
  <c r="R167" i="10"/>
  <c r="Q167" i="10"/>
  <c r="P167" i="10"/>
  <c r="L167" i="10"/>
  <c r="K167" i="10"/>
  <c r="J167" i="10"/>
  <c r="I167" i="10"/>
  <c r="H167" i="10"/>
  <c r="G167" i="10"/>
  <c r="S166" i="10"/>
  <c r="R166" i="10"/>
  <c r="Q166" i="10"/>
  <c r="P166" i="10"/>
  <c r="L166" i="10"/>
  <c r="K166" i="10"/>
  <c r="J166" i="10"/>
  <c r="I166" i="10"/>
  <c r="H166" i="10"/>
  <c r="G166" i="10"/>
  <c r="S165" i="10"/>
  <c r="R165" i="10"/>
  <c r="Q165" i="10"/>
  <c r="P165" i="10"/>
  <c r="L165" i="10"/>
  <c r="K165" i="10"/>
  <c r="J165" i="10"/>
  <c r="I165" i="10"/>
  <c r="H165" i="10"/>
  <c r="G165" i="10"/>
  <c r="S164" i="10"/>
  <c r="R164" i="10"/>
  <c r="Q164" i="10"/>
  <c r="P164" i="10"/>
  <c r="L164" i="10"/>
  <c r="K164" i="10"/>
  <c r="J164" i="10"/>
  <c r="I164" i="10"/>
  <c r="H164" i="10"/>
  <c r="G164" i="10"/>
  <c r="S163" i="10"/>
  <c r="R163" i="10"/>
  <c r="Q163" i="10"/>
  <c r="P163" i="10"/>
  <c r="L163" i="10"/>
  <c r="K163" i="10"/>
  <c r="J163" i="10"/>
  <c r="I163" i="10"/>
  <c r="H163" i="10"/>
  <c r="G163" i="10"/>
  <c r="S162" i="10"/>
  <c r="R162" i="10"/>
  <c r="Q162" i="10"/>
  <c r="P162" i="10"/>
  <c r="L162" i="10"/>
  <c r="K162" i="10"/>
  <c r="J162" i="10"/>
  <c r="I162" i="10"/>
  <c r="H162" i="10"/>
  <c r="G162" i="10"/>
  <c r="S161" i="10"/>
  <c r="R161" i="10"/>
  <c r="Q161" i="10"/>
  <c r="P161" i="10"/>
  <c r="L161" i="10"/>
  <c r="K161" i="10"/>
  <c r="J161" i="10"/>
  <c r="I161" i="10"/>
  <c r="H161" i="10"/>
  <c r="G161" i="10"/>
  <c r="S160" i="10"/>
  <c r="R160" i="10"/>
  <c r="Q160" i="10"/>
  <c r="P160" i="10"/>
  <c r="L160" i="10"/>
  <c r="K160" i="10"/>
  <c r="J160" i="10"/>
  <c r="I160" i="10"/>
  <c r="H160" i="10"/>
  <c r="G160" i="10"/>
  <c r="S159" i="10"/>
  <c r="R159" i="10"/>
  <c r="Q159" i="10"/>
  <c r="P159" i="10"/>
  <c r="L159" i="10"/>
  <c r="K159" i="10"/>
  <c r="J159" i="10"/>
  <c r="I159" i="10"/>
  <c r="H159" i="10"/>
  <c r="G159" i="10"/>
  <c r="S158" i="10"/>
  <c r="R158" i="10"/>
  <c r="Q158" i="10"/>
  <c r="P158" i="10"/>
  <c r="L158" i="10"/>
  <c r="K158" i="10"/>
  <c r="J158" i="10"/>
  <c r="I158" i="10"/>
  <c r="H158" i="10"/>
  <c r="G158" i="10"/>
  <c r="S157" i="10"/>
  <c r="R157" i="10"/>
  <c r="Q157" i="10"/>
  <c r="P157" i="10"/>
  <c r="L157" i="10"/>
  <c r="K157" i="10"/>
  <c r="J157" i="10"/>
  <c r="I157" i="10"/>
  <c r="H157" i="10"/>
  <c r="G157" i="10"/>
  <c r="S156" i="10"/>
  <c r="R156" i="10"/>
  <c r="Q156" i="10"/>
  <c r="P156" i="10"/>
  <c r="L156" i="10"/>
  <c r="K156" i="10"/>
  <c r="J156" i="10"/>
  <c r="I156" i="10"/>
  <c r="H156" i="10"/>
  <c r="G156" i="10"/>
  <c r="S155" i="10"/>
  <c r="R155" i="10"/>
  <c r="Q155" i="10"/>
  <c r="P155" i="10"/>
  <c r="L155" i="10"/>
  <c r="K155" i="10"/>
  <c r="J155" i="10"/>
  <c r="I155" i="10"/>
  <c r="H155" i="10"/>
  <c r="G155" i="10"/>
  <c r="S154" i="10"/>
  <c r="R154" i="10"/>
  <c r="Q154" i="10"/>
  <c r="P154" i="10"/>
  <c r="L154" i="10"/>
  <c r="K154" i="10"/>
  <c r="J154" i="10"/>
  <c r="I154" i="10"/>
  <c r="H154" i="10"/>
  <c r="G154" i="10"/>
  <c r="S153" i="10"/>
  <c r="R153" i="10"/>
  <c r="Q153" i="10"/>
  <c r="P153" i="10"/>
  <c r="L153" i="10"/>
  <c r="K153" i="10"/>
  <c r="J153" i="10"/>
  <c r="I153" i="10"/>
  <c r="H153" i="10"/>
  <c r="G153" i="10"/>
  <c r="S152" i="10"/>
  <c r="R152" i="10"/>
  <c r="Q152" i="10"/>
  <c r="P152" i="10"/>
  <c r="L152" i="10"/>
  <c r="K152" i="10"/>
  <c r="J152" i="10"/>
  <c r="I152" i="10"/>
  <c r="H152" i="10"/>
  <c r="G152" i="10"/>
  <c r="S151" i="10"/>
  <c r="R151" i="10"/>
  <c r="Q151" i="10"/>
  <c r="P151" i="10"/>
  <c r="L151" i="10"/>
  <c r="K151" i="10"/>
  <c r="J151" i="10"/>
  <c r="I151" i="10"/>
  <c r="H151" i="10"/>
  <c r="G151" i="10"/>
  <c r="S150" i="10"/>
  <c r="R150" i="10"/>
  <c r="Q150" i="10"/>
  <c r="P150" i="10"/>
  <c r="L150" i="10"/>
  <c r="K150" i="10"/>
  <c r="J150" i="10"/>
  <c r="I150" i="10"/>
  <c r="H150" i="10"/>
  <c r="G150" i="10"/>
  <c r="S149" i="10"/>
  <c r="R149" i="10"/>
  <c r="Q149" i="10"/>
  <c r="P149" i="10"/>
  <c r="L149" i="10"/>
  <c r="K149" i="10"/>
  <c r="J149" i="10"/>
  <c r="I149" i="10"/>
  <c r="H149" i="10"/>
  <c r="G149" i="10"/>
  <c r="S148" i="10"/>
  <c r="R148" i="10"/>
  <c r="Q148" i="10"/>
  <c r="P148" i="10"/>
  <c r="L148" i="10"/>
  <c r="K148" i="10"/>
  <c r="J148" i="10"/>
  <c r="I148" i="10"/>
  <c r="H148" i="10"/>
  <c r="G148" i="10"/>
  <c r="S147" i="10"/>
  <c r="R147" i="10"/>
  <c r="Q147" i="10"/>
  <c r="P147" i="10"/>
  <c r="L147" i="10"/>
  <c r="K147" i="10"/>
  <c r="J147" i="10"/>
  <c r="I147" i="10"/>
  <c r="H147" i="10"/>
  <c r="G147" i="10"/>
  <c r="S146" i="10"/>
  <c r="R146" i="10"/>
  <c r="Q146" i="10"/>
  <c r="P146" i="10"/>
  <c r="L146" i="10"/>
  <c r="K146" i="10"/>
  <c r="J146" i="10"/>
  <c r="I146" i="10"/>
  <c r="H146" i="10"/>
  <c r="G146" i="10"/>
  <c r="S145" i="10"/>
  <c r="R145" i="10"/>
  <c r="Q145" i="10"/>
  <c r="P145" i="10"/>
  <c r="L145" i="10"/>
  <c r="K145" i="10"/>
  <c r="J145" i="10"/>
  <c r="I145" i="10"/>
  <c r="H145" i="10"/>
  <c r="G145" i="10"/>
  <c r="S144" i="10"/>
  <c r="R144" i="10"/>
  <c r="Q144" i="10"/>
  <c r="P144" i="10"/>
  <c r="L144" i="10"/>
  <c r="K144" i="10"/>
  <c r="J144" i="10"/>
  <c r="I144" i="10"/>
  <c r="H144" i="10"/>
  <c r="G144" i="10"/>
  <c r="S143" i="10"/>
  <c r="R143" i="10"/>
  <c r="Q143" i="10"/>
  <c r="P143" i="10"/>
  <c r="L143" i="10"/>
  <c r="K143" i="10"/>
  <c r="J143" i="10"/>
  <c r="I143" i="10"/>
  <c r="H143" i="10"/>
  <c r="G143" i="10"/>
  <c r="S142" i="10"/>
  <c r="R142" i="10"/>
  <c r="Q142" i="10"/>
  <c r="P142" i="10"/>
  <c r="L142" i="10"/>
  <c r="K142" i="10"/>
  <c r="J142" i="10"/>
  <c r="I142" i="10"/>
  <c r="H142" i="10"/>
  <c r="G142" i="10"/>
  <c r="S141" i="10"/>
  <c r="R141" i="10"/>
  <c r="Q141" i="10"/>
  <c r="P141" i="10"/>
  <c r="L141" i="10"/>
  <c r="K141" i="10"/>
  <c r="J141" i="10"/>
  <c r="I141" i="10"/>
  <c r="H141" i="10"/>
  <c r="G141" i="10"/>
  <c r="S140" i="10"/>
  <c r="R140" i="10"/>
  <c r="Q140" i="10"/>
  <c r="P140" i="10"/>
  <c r="L140" i="10"/>
  <c r="K140" i="10"/>
  <c r="J140" i="10"/>
  <c r="I140" i="10"/>
  <c r="H140" i="10"/>
  <c r="G140" i="10"/>
  <c r="S139" i="10"/>
  <c r="R139" i="10"/>
  <c r="Q139" i="10"/>
  <c r="P139" i="10"/>
  <c r="L139" i="10"/>
  <c r="K139" i="10"/>
  <c r="J139" i="10"/>
  <c r="I139" i="10"/>
  <c r="H139" i="10"/>
  <c r="G139" i="10"/>
  <c r="S138" i="10"/>
  <c r="R138" i="10"/>
  <c r="Q138" i="10"/>
  <c r="P138" i="10"/>
  <c r="L138" i="10"/>
  <c r="K138" i="10"/>
  <c r="J138" i="10"/>
  <c r="I138" i="10"/>
  <c r="H138" i="10"/>
  <c r="G138" i="10"/>
  <c r="S137" i="10"/>
  <c r="R137" i="10"/>
  <c r="Q137" i="10"/>
  <c r="P137" i="10"/>
  <c r="L137" i="10"/>
  <c r="K137" i="10"/>
  <c r="J137" i="10"/>
  <c r="I137" i="10"/>
  <c r="H137" i="10"/>
  <c r="G137" i="10"/>
  <c r="S136" i="10"/>
  <c r="R136" i="10"/>
  <c r="Q136" i="10"/>
  <c r="P136" i="10"/>
  <c r="L136" i="10"/>
  <c r="K136" i="10"/>
  <c r="J136" i="10"/>
  <c r="I136" i="10"/>
  <c r="H136" i="10"/>
  <c r="G136" i="10"/>
  <c r="S135" i="10"/>
  <c r="R135" i="10"/>
  <c r="Q135" i="10"/>
  <c r="P135" i="10"/>
  <c r="L135" i="10"/>
  <c r="K135" i="10"/>
  <c r="J135" i="10"/>
  <c r="I135" i="10"/>
  <c r="H135" i="10"/>
  <c r="G135" i="10"/>
  <c r="S134" i="10"/>
  <c r="R134" i="10"/>
  <c r="Q134" i="10"/>
  <c r="P134" i="10"/>
  <c r="L134" i="10"/>
  <c r="K134" i="10"/>
  <c r="J134" i="10"/>
  <c r="I134" i="10"/>
  <c r="H134" i="10"/>
  <c r="G134" i="10"/>
  <c r="S133" i="10"/>
  <c r="R133" i="10"/>
  <c r="Q133" i="10"/>
  <c r="P133" i="10"/>
  <c r="L133" i="10"/>
  <c r="K133" i="10"/>
  <c r="J133" i="10"/>
  <c r="I133" i="10"/>
  <c r="H133" i="10"/>
  <c r="G133" i="10"/>
  <c r="S132" i="10"/>
  <c r="R132" i="10"/>
  <c r="Q132" i="10"/>
  <c r="P132" i="10"/>
  <c r="L132" i="10"/>
  <c r="K132" i="10"/>
  <c r="J132" i="10"/>
  <c r="I132" i="10"/>
  <c r="H132" i="10"/>
  <c r="G132" i="10"/>
  <c r="S131" i="10"/>
  <c r="R131" i="10"/>
  <c r="Q131" i="10"/>
  <c r="P131" i="10"/>
  <c r="L131" i="10"/>
  <c r="K131" i="10"/>
  <c r="J131" i="10"/>
  <c r="I131" i="10"/>
  <c r="H131" i="10"/>
  <c r="G131" i="10"/>
  <c r="S130" i="10"/>
  <c r="R130" i="10"/>
  <c r="Q130" i="10"/>
  <c r="P130" i="10"/>
  <c r="L130" i="10"/>
  <c r="K130" i="10"/>
  <c r="J130" i="10"/>
  <c r="I130" i="10"/>
  <c r="H130" i="10"/>
  <c r="G130" i="10"/>
  <c r="S129" i="10"/>
  <c r="R129" i="10"/>
  <c r="Q129" i="10"/>
  <c r="P129" i="10"/>
  <c r="L129" i="10"/>
  <c r="K129" i="10"/>
  <c r="J129" i="10"/>
  <c r="I129" i="10"/>
  <c r="H129" i="10"/>
  <c r="G129" i="10"/>
  <c r="S128" i="10"/>
  <c r="R128" i="10"/>
  <c r="Q128" i="10"/>
  <c r="P128" i="10"/>
  <c r="L128" i="10"/>
  <c r="K128" i="10"/>
  <c r="J128" i="10"/>
  <c r="I128" i="10"/>
  <c r="H128" i="10"/>
  <c r="G128" i="10"/>
  <c r="S127" i="10"/>
  <c r="R127" i="10"/>
  <c r="Q127" i="10"/>
  <c r="P127" i="10"/>
  <c r="L127" i="10"/>
  <c r="K127" i="10"/>
  <c r="J127" i="10"/>
  <c r="I127" i="10"/>
  <c r="H127" i="10"/>
  <c r="G127" i="10"/>
  <c r="S126" i="10"/>
  <c r="R126" i="10"/>
  <c r="Q126" i="10"/>
  <c r="P126" i="10"/>
  <c r="L126" i="10"/>
  <c r="K126" i="10"/>
  <c r="J126" i="10"/>
  <c r="I126" i="10"/>
  <c r="H126" i="10"/>
  <c r="G126" i="10"/>
  <c r="S125" i="10"/>
  <c r="R125" i="10"/>
  <c r="Q125" i="10"/>
  <c r="P125" i="10"/>
  <c r="L125" i="10"/>
  <c r="K125" i="10"/>
  <c r="J125" i="10"/>
  <c r="I125" i="10"/>
  <c r="H125" i="10"/>
  <c r="G125" i="10"/>
  <c r="S124" i="10"/>
  <c r="R124" i="10"/>
  <c r="Q124" i="10"/>
  <c r="P124" i="10"/>
  <c r="L124" i="10"/>
  <c r="K124" i="10"/>
  <c r="J124" i="10"/>
  <c r="I124" i="10"/>
  <c r="H124" i="10"/>
  <c r="G124" i="10"/>
  <c r="S123" i="10"/>
  <c r="R123" i="10"/>
  <c r="Q123" i="10"/>
  <c r="P123" i="10"/>
  <c r="L123" i="10"/>
  <c r="K123" i="10"/>
  <c r="J123" i="10"/>
  <c r="I123" i="10"/>
  <c r="H123" i="10"/>
  <c r="G123" i="10"/>
  <c r="S122" i="10"/>
  <c r="R122" i="10"/>
  <c r="Q122" i="10"/>
  <c r="P122" i="10"/>
  <c r="L122" i="10"/>
  <c r="K122" i="10"/>
  <c r="J122" i="10"/>
  <c r="I122" i="10"/>
  <c r="H122" i="10"/>
  <c r="G122" i="10"/>
  <c r="S121" i="10"/>
  <c r="R121" i="10"/>
  <c r="Q121" i="10"/>
  <c r="P121" i="10"/>
  <c r="L121" i="10"/>
  <c r="K121" i="10"/>
  <c r="J121" i="10"/>
  <c r="I121" i="10"/>
  <c r="H121" i="10"/>
  <c r="G121" i="10"/>
  <c r="S120" i="10"/>
  <c r="R120" i="10"/>
  <c r="Q120" i="10"/>
  <c r="P120" i="10"/>
  <c r="L120" i="10"/>
  <c r="K120" i="10"/>
  <c r="J120" i="10"/>
  <c r="I120" i="10"/>
  <c r="H120" i="10"/>
  <c r="G120" i="10"/>
  <c r="S119" i="10"/>
  <c r="R119" i="10"/>
  <c r="Q119" i="10"/>
  <c r="P119" i="10"/>
  <c r="L119" i="10"/>
  <c r="K119" i="10"/>
  <c r="J119" i="10"/>
  <c r="I119" i="10"/>
  <c r="H119" i="10"/>
  <c r="G119" i="10"/>
  <c r="S118" i="10"/>
  <c r="R118" i="10"/>
  <c r="Q118" i="10"/>
  <c r="P118" i="10"/>
  <c r="L118" i="10"/>
  <c r="K118" i="10"/>
  <c r="J118" i="10"/>
  <c r="I118" i="10"/>
  <c r="H118" i="10"/>
  <c r="G118" i="10"/>
  <c r="S117" i="10"/>
  <c r="R117" i="10"/>
  <c r="Q117" i="10"/>
  <c r="P117" i="10"/>
  <c r="L117" i="10"/>
  <c r="K117" i="10"/>
  <c r="J117" i="10"/>
  <c r="I117" i="10"/>
  <c r="H117" i="10"/>
  <c r="G117" i="10"/>
  <c r="S116" i="10"/>
  <c r="R116" i="10"/>
  <c r="Q116" i="10"/>
  <c r="P116" i="10"/>
  <c r="L116" i="10"/>
  <c r="K116" i="10"/>
  <c r="J116" i="10"/>
  <c r="I116" i="10"/>
  <c r="H116" i="10"/>
  <c r="G116" i="10"/>
  <c r="S115" i="10"/>
  <c r="R115" i="10"/>
  <c r="Q115" i="10"/>
  <c r="P115" i="10"/>
  <c r="L115" i="10"/>
  <c r="K115" i="10"/>
  <c r="J115" i="10"/>
  <c r="I115" i="10"/>
  <c r="H115" i="10"/>
  <c r="G115" i="10"/>
  <c r="S114" i="10"/>
  <c r="R114" i="10"/>
  <c r="Q114" i="10"/>
  <c r="P114" i="10"/>
  <c r="L114" i="10"/>
  <c r="K114" i="10"/>
  <c r="J114" i="10"/>
  <c r="I114" i="10"/>
  <c r="H114" i="10"/>
  <c r="G114" i="10"/>
  <c r="S113" i="10"/>
  <c r="R113" i="10"/>
  <c r="Q113" i="10"/>
  <c r="P113" i="10"/>
  <c r="L113" i="10"/>
  <c r="K113" i="10"/>
  <c r="J113" i="10"/>
  <c r="I113" i="10"/>
  <c r="H113" i="10"/>
  <c r="G113" i="10"/>
  <c r="S112" i="10"/>
  <c r="R112" i="10"/>
  <c r="Q112" i="10"/>
  <c r="P112" i="10"/>
  <c r="L112" i="10"/>
  <c r="K112" i="10"/>
  <c r="J112" i="10"/>
  <c r="I112" i="10"/>
  <c r="H112" i="10"/>
  <c r="G112" i="10"/>
  <c r="S111" i="10"/>
  <c r="R111" i="10"/>
  <c r="Q111" i="10"/>
  <c r="P111" i="10"/>
  <c r="L111" i="10"/>
  <c r="K111" i="10"/>
  <c r="J111" i="10"/>
  <c r="I111" i="10"/>
  <c r="H111" i="10"/>
  <c r="G111" i="10"/>
  <c r="S110" i="10"/>
  <c r="R110" i="10"/>
  <c r="Q110" i="10"/>
  <c r="P110" i="10"/>
  <c r="L110" i="10"/>
  <c r="K110" i="10"/>
  <c r="J110" i="10"/>
  <c r="I110" i="10"/>
  <c r="H110" i="10"/>
  <c r="G110" i="10"/>
  <c r="S109" i="10"/>
  <c r="R109" i="10"/>
  <c r="Q109" i="10"/>
  <c r="P109" i="10"/>
  <c r="L109" i="10"/>
  <c r="K109" i="10"/>
  <c r="J109" i="10"/>
  <c r="I109" i="10"/>
  <c r="H109" i="10"/>
  <c r="G109" i="10"/>
  <c r="S108" i="10"/>
  <c r="R108" i="10"/>
  <c r="Q108" i="10"/>
  <c r="P108" i="10"/>
  <c r="L108" i="10"/>
  <c r="K108" i="10"/>
  <c r="J108" i="10"/>
  <c r="I108" i="10"/>
  <c r="H108" i="10"/>
  <c r="G108" i="10"/>
  <c r="S107" i="10"/>
  <c r="R107" i="10"/>
  <c r="Q107" i="10"/>
  <c r="P107" i="10"/>
  <c r="L107" i="10"/>
  <c r="K107" i="10"/>
  <c r="J107" i="10"/>
  <c r="I107" i="10"/>
  <c r="H107" i="10"/>
  <c r="G107" i="10"/>
  <c r="S106" i="10"/>
  <c r="R106" i="10"/>
  <c r="Q106" i="10"/>
  <c r="P106" i="10"/>
  <c r="L106" i="10"/>
  <c r="K106" i="10"/>
  <c r="J106" i="10"/>
  <c r="I106" i="10"/>
  <c r="H106" i="10"/>
  <c r="G106" i="10"/>
  <c r="S105" i="10"/>
  <c r="R105" i="10"/>
  <c r="Q105" i="10"/>
  <c r="P105" i="10"/>
  <c r="L105" i="10"/>
  <c r="K105" i="10"/>
  <c r="J105" i="10"/>
  <c r="I105" i="10"/>
  <c r="H105" i="10"/>
  <c r="G105" i="10"/>
  <c r="S104" i="10"/>
  <c r="R104" i="10"/>
  <c r="Q104" i="10"/>
  <c r="P104" i="10"/>
  <c r="L104" i="10"/>
  <c r="K104" i="10"/>
  <c r="J104" i="10"/>
  <c r="I104" i="10"/>
  <c r="H104" i="10"/>
  <c r="G104" i="10"/>
  <c r="S103" i="10"/>
  <c r="R103" i="10"/>
  <c r="Q103" i="10"/>
  <c r="P103" i="10"/>
  <c r="L103" i="10"/>
  <c r="K103" i="10"/>
  <c r="J103" i="10"/>
  <c r="I103" i="10"/>
  <c r="H103" i="10"/>
  <c r="G103" i="10"/>
  <c r="S102" i="10"/>
  <c r="R102" i="10"/>
  <c r="Q102" i="10"/>
  <c r="P102" i="10"/>
  <c r="L102" i="10"/>
  <c r="K102" i="10"/>
  <c r="J102" i="10"/>
  <c r="I102" i="10"/>
  <c r="H102" i="10"/>
  <c r="G102" i="10"/>
  <c r="S101" i="10"/>
  <c r="R101" i="10"/>
  <c r="Q101" i="10"/>
  <c r="P101" i="10"/>
  <c r="L101" i="10"/>
  <c r="K101" i="10"/>
  <c r="J101" i="10"/>
  <c r="I101" i="10"/>
  <c r="H101" i="10"/>
  <c r="G101" i="10"/>
  <c r="S100" i="10"/>
  <c r="R100" i="10"/>
  <c r="Q100" i="10"/>
  <c r="P100" i="10"/>
  <c r="L100" i="10"/>
  <c r="K100" i="10"/>
  <c r="J100" i="10"/>
  <c r="I100" i="10"/>
  <c r="H100" i="10"/>
  <c r="G100" i="10"/>
  <c r="S99" i="10"/>
  <c r="R99" i="10"/>
  <c r="Q99" i="10"/>
  <c r="P99" i="10"/>
  <c r="L99" i="10"/>
  <c r="K99" i="10"/>
  <c r="J99" i="10"/>
  <c r="I99" i="10"/>
  <c r="H99" i="10"/>
  <c r="G99" i="10"/>
  <c r="S98" i="10"/>
  <c r="R98" i="10"/>
  <c r="Q98" i="10"/>
  <c r="P98" i="10"/>
  <c r="L98" i="10"/>
  <c r="K98" i="10"/>
  <c r="J98" i="10"/>
  <c r="I98" i="10"/>
  <c r="H98" i="10"/>
  <c r="G98" i="10"/>
  <c r="S97" i="10"/>
  <c r="R97" i="10"/>
  <c r="Q97" i="10"/>
  <c r="P97" i="10"/>
  <c r="L97" i="10"/>
  <c r="K97" i="10"/>
  <c r="J97" i="10"/>
  <c r="I97" i="10"/>
  <c r="H97" i="10"/>
  <c r="G97" i="10"/>
  <c r="S96" i="10"/>
  <c r="R96" i="10"/>
  <c r="Q96" i="10"/>
  <c r="P96" i="10"/>
  <c r="L96" i="10"/>
  <c r="K96" i="10"/>
  <c r="J96" i="10"/>
  <c r="I96" i="10"/>
  <c r="H96" i="10"/>
  <c r="G96" i="10"/>
  <c r="S95" i="10"/>
  <c r="R95" i="10"/>
  <c r="Q95" i="10"/>
  <c r="P95" i="10"/>
  <c r="L95" i="10"/>
  <c r="K95" i="10"/>
  <c r="J95" i="10"/>
  <c r="I95" i="10"/>
  <c r="H95" i="10"/>
  <c r="G95" i="10"/>
  <c r="S94" i="10"/>
  <c r="R94" i="10"/>
  <c r="Q94" i="10"/>
  <c r="P94" i="10"/>
  <c r="L94" i="10"/>
  <c r="K94" i="10"/>
  <c r="J94" i="10"/>
  <c r="I94" i="10"/>
  <c r="H94" i="10"/>
  <c r="G94" i="10"/>
  <c r="S93" i="10"/>
  <c r="R93" i="10"/>
  <c r="Q93" i="10"/>
  <c r="P93" i="10"/>
  <c r="L93" i="10"/>
  <c r="K93" i="10"/>
  <c r="J93" i="10"/>
  <c r="I93" i="10"/>
  <c r="H93" i="10"/>
  <c r="G93" i="10"/>
  <c r="S92" i="10"/>
  <c r="R92" i="10"/>
  <c r="Q92" i="10"/>
  <c r="P92" i="10"/>
  <c r="L92" i="10"/>
  <c r="K92" i="10"/>
  <c r="J92" i="10"/>
  <c r="I92" i="10"/>
  <c r="H92" i="10"/>
  <c r="G92" i="10"/>
  <c r="S91" i="10"/>
  <c r="R91" i="10"/>
  <c r="Q91" i="10"/>
  <c r="P91" i="10"/>
  <c r="L91" i="10"/>
  <c r="K91" i="10"/>
  <c r="J91" i="10"/>
  <c r="I91" i="10"/>
  <c r="H91" i="10"/>
  <c r="G91" i="10"/>
  <c r="S90" i="10"/>
  <c r="R90" i="10"/>
  <c r="Q90" i="10"/>
  <c r="P90" i="10"/>
  <c r="L90" i="10"/>
  <c r="K90" i="10"/>
  <c r="J90" i="10"/>
  <c r="I90" i="10"/>
  <c r="H90" i="10"/>
  <c r="G90" i="10"/>
  <c r="S89" i="10"/>
  <c r="R89" i="10"/>
  <c r="Q89" i="10"/>
  <c r="P89" i="10"/>
  <c r="L89" i="10"/>
  <c r="K89" i="10"/>
  <c r="J89" i="10"/>
  <c r="I89" i="10"/>
  <c r="H89" i="10"/>
  <c r="G89" i="10"/>
  <c r="S88" i="10"/>
  <c r="R88" i="10"/>
  <c r="Q88" i="10"/>
  <c r="P88" i="10"/>
  <c r="L88" i="10"/>
  <c r="K88" i="10"/>
  <c r="J88" i="10"/>
  <c r="I88" i="10"/>
  <c r="H88" i="10"/>
  <c r="G88" i="10"/>
  <c r="S87" i="10"/>
  <c r="R87" i="10"/>
  <c r="Q87" i="10"/>
  <c r="P87" i="10"/>
  <c r="L87" i="10"/>
  <c r="K87" i="10"/>
  <c r="J87" i="10"/>
  <c r="I87" i="10"/>
  <c r="H87" i="10"/>
  <c r="G87" i="10"/>
  <c r="S86" i="10"/>
  <c r="R86" i="10"/>
  <c r="Q86" i="10"/>
  <c r="P86" i="10"/>
  <c r="L86" i="10"/>
  <c r="K86" i="10"/>
  <c r="J86" i="10"/>
  <c r="I86" i="10"/>
  <c r="H86" i="10"/>
  <c r="G86" i="10"/>
  <c r="S85" i="10"/>
  <c r="R85" i="10"/>
  <c r="Q85" i="10"/>
  <c r="P85" i="10"/>
  <c r="L85" i="10"/>
  <c r="K85" i="10"/>
  <c r="J85" i="10"/>
  <c r="I85" i="10"/>
  <c r="H85" i="10"/>
  <c r="G85" i="10"/>
  <c r="S84" i="10"/>
  <c r="R84" i="10"/>
  <c r="Q84" i="10"/>
  <c r="P84" i="10"/>
  <c r="L84" i="10"/>
  <c r="K84" i="10"/>
  <c r="J84" i="10"/>
  <c r="I84" i="10"/>
  <c r="H84" i="10"/>
  <c r="G84" i="10"/>
  <c r="S83" i="10"/>
  <c r="R83" i="10"/>
  <c r="Q83" i="10"/>
  <c r="P83" i="10"/>
  <c r="L83" i="10"/>
  <c r="K83" i="10"/>
  <c r="J83" i="10"/>
  <c r="I83" i="10"/>
  <c r="H83" i="10"/>
  <c r="G83" i="10"/>
  <c r="S82" i="10"/>
  <c r="R82" i="10"/>
  <c r="Q82" i="10"/>
  <c r="P82" i="10"/>
  <c r="L82" i="10"/>
  <c r="K82" i="10"/>
  <c r="J82" i="10"/>
  <c r="I82" i="10"/>
  <c r="H82" i="10"/>
  <c r="G82" i="10"/>
  <c r="S81" i="10"/>
  <c r="R81" i="10"/>
  <c r="Q81" i="10"/>
  <c r="P81" i="10"/>
  <c r="L81" i="10"/>
  <c r="K81" i="10"/>
  <c r="J81" i="10"/>
  <c r="I81" i="10"/>
  <c r="H81" i="10"/>
  <c r="G81" i="10"/>
  <c r="S80" i="10"/>
  <c r="R80" i="10"/>
  <c r="Q80" i="10"/>
  <c r="P80" i="10"/>
  <c r="L80" i="10"/>
  <c r="K80" i="10"/>
  <c r="J80" i="10"/>
  <c r="I80" i="10"/>
  <c r="H80" i="10"/>
  <c r="G80" i="10"/>
  <c r="S79" i="10"/>
  <c r="R79" i="10"/>
  <c r="Q79" i="10"/>
  <c r="P79" i="10"/>
  <c r="L79" i="10"/>
  <c r="K79" i="10"/>
  <c r="J79" i="10"/>
  <c r="I79" i="10"/>
  <c r="H79" i="10"/>
  <c r="G79" i="10"/>
  <c r="S78" i="10"/>
  <c r="R78" i="10"/>
  <c r="Q78" i="10"/>
  <c r="P78" i="10"/>
  <c r="L78" i="10"/>
  <c r="K78" i="10"/>
  <c r="J78" i="10"/>
  <c r="I78" i="10"/>
  <c r="H78" i="10"/>
  <c r="G78" i="10"/>
  <c r="S77" i="10"/>
  <c r="R77" i="10"/>
  <c r="Q77" i="10"/>
  <c r="P77" i="10"/>
  <c r="L77" i="10"/>
  <c r="K77" i="10"/>
  <c r="J77" i="10"/>
  <c r="I77" i="10"/>
  <c r="H77" i="10"/>
  <c r="G77" i="10"/>
  <c r="S76" i="10"/>
  <c r="R76" i="10"/>
  <c r="Q76" i="10"/>
  <c r="P76" i="10"/>
  <c r="L76" i="10"/>
  <c r="K76" i="10"/>
  <c r="J76" i="10"/>
  <c r="I76" i="10"/>
  <c r="H76" i="10"/>
  <c r="G76" i="10"/>
  <c r="S75" i="10"/>
  <c r="R75" i="10"/>
  <c r="Q75" i="10"/>
  <c r="P75" i="10"/>
  <c r="L75" i="10"/>
  <c r="K75" i="10"/>
  <c r="J75" i="10"/>
  <c r="I75" i="10"/>
  <c r="H75" i="10"/>
  <c r="G75" i="10"/>
  <c r="S74" i="10"/>
  <c r="R74" i="10"/>
  <c r="Q74" i="10"/>
  <c r="P74" i="10"/>
  <c r="L74" i="10"/>
  <c r="K74" i="10"/>
  <c r="J74" i="10"/>
  <c r="I74" i="10"/>
  <c r="H74" i="10"/>
  <c r="G74" i="10"/>
  <c r="S73" i="10"/>
  <c r="R73" i="10"/>
  <c r="Q73" i="10"/>
  <c r="P73" i="10"/>
  <c r="L73" i="10"/>
  <c r="K73" i="10"/>
  <c r="J73" i="10"/>
  <c r="I73" i="10"/>
  <c r="H73" i="10"/>
  <c r="G73" i="10"/>
  <c r="Z72" i="10"/>
  <c r="Y72" i="10"/>
  <c r="X72" i="10"/>
  <c r="S72" i="10"/>
  <c r="R72" i="10"/>
  <c r="Q72" i="10"/>
  <c r="P72" i="10"/>
  <c r="L72" i="10"/>
  <c r="K72" i="10"/>
  <c r="J72" i="10"/>
  <c r="I72" i="10"/>
  <c r="H72" i="10"/>
  <c r="G72" i="10"/>
  <c r="Z71" i="10"/>
  <c r="Y71" i="10"/>
  <c r="X71" i="10"/>
  <c r="S71" i="10"/>
  <c r="R71" i="10"/>
  <c r="Q71" i="10"/>
  <c r="P71" i="10"/>
  <c r="L71" i="10"/>
  <c r="K71" i="10"/>
  <c r="J71" i="10"/>
  <c r="I71" i="10"/>
  <c r="H71" i="10"/>
  <c r="G71" i="10"/>
  <c r="Z70" i="10"/>
  <c r="Y70" i="10"/>
  <c r="X70" i="10"/>
  <c r="S70" i="10"/>
  <c r="R70" i="10"/>
  <c r="Q70" i="10"/>
  <c r="P70" i="10"/>
  <c r="L70" i="10"/>
  <c r="K70" i="10"/>
  <c r="J70" i="10"/>
  <c r="I70" i="10"/>
  <c r="H70" i="10"/>
  <c r="G70" i="10"/>
  <c r="AA69" i="10"/>
  <c r="Z69" i="10"/>
  <c r="Y69" i="10"/>
  <c r="X69" i="10"/>
  <c r="S69" i="10"/>
  <c r="R69" i="10"/>
  <c r="Q69" i="10"/>
  <c r="P69" i="10"/>
  <c r="L69" i="10"/>
  <c r="K69" i="10"/>
  <c r="J69" i="10"/>
  <c r="I69" i="10"/>
  <c r="H69" i="10"/>
  <c r="G69" i="10"/>
  <c r="AA68" i="10"/>
  <c r="Z68" i="10"/>
  <c r="Y68" i="10"/>
  <c r="X68" i="10"/>
  <c r="S68" i="10"/>
  <c r="R68" i="10"/>
  <c r="Q68" i="10"/>
  <c r="P68" i="10"/>
  <c r="L68" i="10"/>
  <c r="K68" i="10"/>
  <c r="J68" i="10"/>
  <c r="I68" i="10"/>
  <c r="H68" i="10"/>
  <c r="G68" i="10"/>
  <c r="AA67" i="10"/>
  <c r="Z67" i="10"/>
  <c r="Y67" i="10"/>
  <c r="X67" i="10"/>
  <c r="S67" i="10"/>
  <c r="R67" i="10"/>
  <c r="Q67" i="10"/>
  <c r="P67" i="10"/>
  <c r="L67" i="10"/>
  <c r="K67" i="10"/>
  <c r="J67" i="10"/>
  <c r="I67" i="10"/>
  <c r="H67" i="10"/>
  <c r="G67" i="10"/>
  <c r="AA66" i="10"/>
  <c r="Z66" i="10"/>
  <c r="Y66" i="10"/>
  <c r="X66" i="10"/>
  <c r="S66" i="10"/>
  <c r="R66" i="10"/>
  <c r="Q66" i="10"/>
  <c r="P66" i="10"/>
  <c r="L66" i="10"/>
  <c r="K66" i="10"/>
  <c r="J66" i="10"/>
  <c r="I66" i="10"/>
  <c r="H66" i="10"/>
  <c r="G66" i="10"/>
  <c r="AA65" i="10"/>
  <c r="Z65" i="10"/>
  <c r="Y65" i="10"/>
  <c r="X65" i="10"/>
  <c r="S65" i="10"/>
  <c r="R65" i="10"/>
  <c r="Q65" i="10"/>
  <c r="P65" i="10"/>
  <c r="L65" i="10"/>
  <c r="K65" i="10"/>
  <c r="J65" i="10"/>
  <c r="I65" i="10"/>
  <c r="H65" i="10"/>
  <c r="G65" i="10"/>
  <c r="AA64" i="10"/>
  <c r="Z64" i="10"/>
  <c r="Y64" i="10"/>
  <c r="X64" i="10"/>
  <c r="S64" i="10"/>
  <c r="R64" i="10"/>
  <c r="Q64" i="10"/>
  <c r="P64" i="10"/>
  <c r="L64" i="10"/>
  <c r="K64" i="10"/>
  <c r="J64" i="10"/>
  <c r="I64" i="10"/>
  <c r="H64" i="10"/>
  <c r="G64" i="10"/>
  <c r="AA63" i="10"/>
  <c r="Z63" i="10"/>
  <c r="Y63" i="10"/>
  <c r="X63" i="10"/>
  <c r="S63" i="10"/>
  <c r="R63" i="10"/>
  <c r="Q63" i="10"/>
  <c r="P63" i="10"/>
  <c r="L63" i="10"/>
  <c r="K63" i="10"/>
  <c r="J63" i="10"/>
  <c r="I63" i="10"/>
  <c r="H63" i="10"/>
  <c r="G63" i="10"/>
  <c r="AA62" i="10"/>
  <c r="Z62" i="10"/>
  <c r="Y62" i="10"/>
  <c r="X62" i="10"/>
  <c r="S62" i="10"/>
  <c r="R62" i="10"/>
  <c r="Q62" i="10"/>
  <c r="P62" i="10"/>
  <c r="L62" i="10"/>
  <c r="K62" i="10"/>
  <c r="J62" i="10"/>
  <c r="I62" i="10"/>
  <c r="H62" i="10"/>
  <c r="G62" i="10"/>
  <c r="AA61" i="10"/>
  <c r="Z61" i="10"/>
  <c r="Y61" i="10"/>
  <c r="X61" i="10"/>
  <c r="S61" i="10"/>
  <c r="R61" i="10"/>
  <c r="Q61" i="10"/>
  <c r="P61" i="10"/>
  <c r="L61" i="10"/>
  <c r="K61" i="10"/>
  <c r="J61" i="10"/>
  <c r="I61" i="10"/>
  <c r="H61" i="10"/>
  <c r="G61" i="10"/>
  <c r="AA60" i="10"/>
  <c r="Z60" i="10"/>
  <c r="Y60" i="10"/>
  <c r="X60" i="10"/>
  <c r="S60" i="10"/>
  <c r="R60" i="10"/>
  <c r="Q60" i="10"/>
  <c r="P60" i="10"/>
  <c r="L60" i="10"/>
  <c r="K60" i="10"/>
  <c r="J60" i="10"/>
  <c r="I60" i="10"/>
  <c r="H60" i="10"/>
  <c r="G60" i="10"/>
  <c r="AA59" i="10"/>
  <c r="Z59" i="10"/>
  <c r="Y59" i="10"/>
  <c r="X59" i="10"/>
  <c r="S59" i="10"/>
  <c r="R59" i="10"/>
  <c r="Q59" i="10"/>
  <c r="P59" i="10"/>
  <c r="L59" i="10"/>
  <c r="K59" i="10"/>
  <c r="J59" i="10"/>
  <c r="I59" i="10"/>
  <c r="H59" i="10"/>
  <c r="G59" i="10"/>
  <c r="AA58" i="10"/>
  <c r="Z58" i="10"/>
  <c r="Y58" i="10"/>
  <c r="X58" i="10"/>
  <c r="S58" i="10"/>
  <c r="R58" i="10"/>
  <c r="Q58" i="10"/>
  <c r="P58" i="10"/>
  <c r="L58" i="10"/>
  <c r="K58" i="10"/>
  <c r="J58" i="10"/>
  <c r="I58" i="10"/>
  <c r="H58" i="10"/>
  <c r="G58" i="10"/>
  <c r="AA57" i="10"/>
  <c r="Z57" i="10"/>
  <c r="Y57" i="10"/>
  <c r="X57" i="10"/>
  <c r="S57" i="10"/>
  <c r="R57" i="10"/>
  <c r="Q57" i="10"/>
  <c r="P57" i="10"/>
  <c r="L57" i="10"/>
  <c r="K57" i="10"/>
  <c r="J57" i="10"/>
  <c r="I57" i="10"/>
  <c r="H57" i="10"/>
  <c r="G57" i="10"/>
  <c r="AA56" i="10"/>
  <c r="Z56" i="10"/>
  <c r="Y56" i="10"/>
  <c r="X56" i="10"/>
  <c r="S56" i="10"/>
  <c r="R56" i="10"/>
  <c r="Q56" i="10"/>
  <c r="P56" i="10"/>
  <c r="L56" i="10"/>
  <c r="K56" i="10"/>
  <c r="J56" i="10"/>
  <c r="I56" i="10"/>
  <c r="H56" i="10"/>
  <c r="G56" i="10"/>
  <c r="AA55" i="10"/>
  <c r="Z55" i="10"/>
  <c r="Y55" i="10"/>
  <c r="X55" i="10"/>
  <c r="S55" i="10"/>
  <c r="R55" i="10"/>
  <c r="Q55" i="10"/>
  <c r="P55" i="10"/>
  <c r="L55" i="10"/>
  <c r="K55" i="10"/>
  <c r="J55" i="10"/>
  <c r="I55" i="10"/>
  <c r="H55" i="10"/>
  <c r="G55" i="10"/>
  <c r="AA54" i="10"/>
  <c r="Z54" i="10"/>
  <c r="Y54" i="10"/>
  <c r="X54" i="10"/>
  <c r="S54" i="10"/>
  <c r="R54" i="10"/>
  <c r="Q54" i="10"/>
  <c r="P54" i="10"/>
  <c r="L54" i="10"/>
  <c r="K54" i="10"/>
  <c r="J54" i="10"/>
  <c r="I54" i="10"/>
  <c r="H54" i="10"/>
  <c r="G54" i="10"/>
  <c r="AA53" i="10"/>
  <c r="Z53" i="10"/>
  <c r="Y53" i="10"/>
  <c r="X53" i="10"/>
  <c r="S53" i="10"/>
  <c r="R53" i="10"/>
  <c r="Q53" i="10"/>
  <c r="P53" i="10"/>
  <c r="L53" i="10"/>
  <c r="K53" i="10"/>
  <c r="J53" i="10"/>
  <c r="I53" i="10"/>
  <c r="H53" i="10"/>
  <c r="G53" i="10"/>
  <c r="AA52" i="10"/>
  <c r="Z52" i="10"/>
  <c r="Y52" i="10"/>
  <c r="X52" i="10"/>
  <c r="S52" i="10"/>
  <c r="R52" i="10"/>
  <c r="Q52" i="10"/>
  <c r="P52" i="10"/>
  <c r="L52" i="10"/>
  <c r="K52" i="10"/>
  <c r="J52" i="10"/>
  <c r="I52" i="10"/>
  <c r="H52" i="10"/>
  <c r="G52" i="10"/>
  <c r="AA51" i="10"/>
  <c r="Z51" i="10"/>
  <c r="Y51" i="10"/>
  <c r="X51" i="10"/>
  <c r="S51" i="10"/>
  <c r="R51" i="10"/>
  <c r="Q51" i="10"/>
  <c r="P51" i="10"/>
  <c r="L51" i="10"/>
  <c r="K51" i="10"/>
  <c r="J51" i="10"/>
  <c r="I51" i="10"/>
  <c r="H51" i="10"/>
  <c r="G51" i="10"/>
  <c r="AA50" i="10"/>
  <c r="Z50" i="10"/>
  <c r="Y50" i="10"/>
  <c r="X50" i="10"/>
  <c r="S50" i="10"/>
  <c r="R50" i="10"/>
  <c r="Q50" i="10"/>
  <c r="P50" i="10"/>
  <c r="L50" i="10"/>
  <c r="K50" i="10"/>
  <c r="J50" i="10"/>
  <c r="I50" i="10"/>
  <c r="H50" i="10"/>
  <c r="G50" i="10"/>
  <c r="AA49" i="10"/>
  <c r="Z49" i="10"/>
  <c r="Y49" i="10"/>
  <c r="X49" i="10"/>
  <c r="S49" i="10"/>
  <c r="R49" i="10"/>
  <c r="Q49" i="10"/>
  <c r="P49" i="10"/>
  <c r="L49" i="10"/>
  <c r="K49" i="10"/>
  <c r="J49" i="10"/>
  <c r="I49" i="10"/>
  <c r="H49" i="10"/>
  <c r="G49" i="10"/>
  <c r="A49" i="10"/>
  <c r="C49" i="10"/>
  <c r="AA48" i="10"/>
  <c r="Z48" i="10"/>
  <c r="Y48" i="10"/>
  <c r="X48" i="10"/>
  <c r="S48" i="10"/>
  <c r="R48" i="10"/>
  <c r="Q48" i="10"/>
  <c r="P48" i="10"/>
  <c r="L48" i="10"/>
  <c r="K48" i="10"/>
  <c r="J48" i="10"/>
  <c r="I48" i="10"/>
  <c r="H48" i="10"/>
  <c r="G48" i="10"/>
  <c r="A48" i="10"/>
  <c r="C48" i="10"/>
  <c r="AA47" i="10"/>
  <c r="Z47" i="10"/>
  <c r="Y47" i="10"/>
  <c r="X47" i="10"/>
  <c r="S47" i="10"/>
  <c r="R47" i="10"/>
  <c r="Q47" i="10"/>
  <c r="P47" i="10"/>
  <c r="L47" i="10"/>
  <c r="K47" i="10"/>
  <c r="J47" i="10"/>
  <c r="I47" i="10"/>
  <c r="H47" i="10"/>
  <c r="G47" i="10"/>
  <c r="A47" i="10"/>
  <c r="C47" i="10"/>
  <c r="AA46" i="10"/>
  <c r="Z46" i="10"/>
  <c r="Y46" i="10"/>
  <c r="X46" i="10"/>
  <c r="S46" i="10"/>
  <c r="R46" i="10"/>
  <c r="Q46" i="10"/>
  <c r="P46" i="10"/>
  <c r="L46" i="10"/>
  <c r="K46" i="10"/>
  <c r="J46" i="10"/>
  <c r="I46" i="10"/>
  <c r="H46" i="10"/>
  <c r="G46" i="10"/>
  <c r="A46" i="10"/>
  <c r="C46" i="10"/>
  <c r="AA45" i="10"/>
  <c r="Z45" i="10"/>
  <c r="Y45" i="10"/>
  <c r="X45" i="10"/>
  <c r="S45" i="10"/>
  <c r="R45" i="10"/>
  <c r="Q45" i="10"/>
  <c r="P45" i="10"/>
  <c r="L45" i="10"/>
  <c r="K45" i="10"/>
  <c r="J45" i="10"/>
  <c r="I45" i="10"/>
  <c r="H45" i="10"/>
  <c r="G45" i="10"/>
  <c r="A45" i="10"/>
  <c r="C45" i="10"/>
  <c r="AA44" i="10"/>
  <c r="Z44" i="10"/>
  <c r="Y44" i="10"/>
  <c r="X44" i="10"/>
  <c r="S44" i="10"/>
  <c r="R44" i="10"/>
  <c r="Q44" i="10"/>
  <c r="P44" i="10"/>
  <c r="L44" i="10"/>
  <c r="K44" i="10"/>
  <c r="J44" i="10"/>
  <c r="I44" i="10"/>
  <c r="H44" i="10"/>
  <c r="G44" i="10"/>
  <c r="A44" i="10"/>
  <c r="C44" i="10"/>
  <c r="AA43" i="10"/>
  <c r="Z43" i="10"/>
  <c r="Y43" i="10"/>
  <c r="X43" i="10"/>
  <c r="S43" i="10"/>
  <c r="R43" i="10"/>
  <c r="Q43" i="10"/>
  <c r="P43" i="10"/>
  <c r="L43" i="10"/>
  <c r="K43" i="10"/>
  <c r="J43" i="10"/>
  <c r="I43" i="10"/>
  <c r="H43" i="10"/>
  <c r="G43" i="10"/>
  <c r="A43" i="10"/>
  <c r="C43" i="10"/>
  <c r="AA42" i="10"/>
  <c r="Z42" i="10"/>
  <c r="Y42" i="10"/>
  <c r="X42" i="10"/>
  <c r="S42" i="10"/>
  <c r="R42" i="10"/>
  <c r="Q42" i="10"/>
  <c r="P42" i="10"/>
  <c r="L42" i="10"/>
  <c r="K42" i="10"/>
  <c r="J42" i="10"/>
  <c r="I42" i="10"/>
  <c r="H42" i="10"/>
  <c r="G42" i="10"/>
  <c r="A42" i="10"/>
  <c r="C42" i="10"/>
  <c r="AA41" i="10"/>
  <c r="Z41" i="10"/>
  <c r="Y41" i="10"/>
  <c r="X41" i="10"/>
  <c r="S41" i="10"/>
  <c r="R41" i="10"/>
  <c r="Q41" i="10"/>
  <c r="P41" i="10"/>
  <c r="L41" i="10"/>
  <c r="K41" i="10"/>
  <c r="J41" i="10"/>
  <c r="I41" i="10"/>
  <c r="H41" i="10"/>
  <c r="G41" i="10"/>
  <c r="A41" i="10"/>
  <c r="C41" i="10"/>
  <c r="AA40" i="10"/>
  <c r="Z40" i="10"/>
  <c r="Y40" i="10"/>
  <c r="X40" i="10"/>
  <c r="S40" i="10"/>
  <c r="R40" i="10"/>
  <c r="Q40" i="10"/>
  <c r="P40" i="10"/>
  <c r="L40" i="10"/>
  <c r="K40" i="10"/>
  <c r="J40" i="10"/>
  <c r="I40" i="10"/>
  <c r="H40" i="10"/>
  <c r="G40" i="10"/>
  <c r="A40" i="10"/>
  <c r="C40" i="10"/>
  <c r="AA39" i="10"/>
  <c r="Z39" i="10"/>
  <c r="Y39" i="10"/>
  <c r="X39" i="10"/>
  <c r="S39" i="10"/>
  <c r="R39" i="10"/>
  <c r="Q39" i="10"/>
  <c r="P39" i="10"/>
  <c r="L39" i="10"/>
  <c r="K39" i="10"/>
  <c r="J39" i="10"/>
  <c r="I39" i="10"/>
  <c r="H39" i="10"/>
  <c r="G39" i="10"/>
  <c r="A39" i="10"/>
  <c r="C39" i="10"/>
  <c r="AA38" i="10"/>
  <c r="Z38" i="10"/>
  <c r="Y38" i="10"/>
  <c r="X38" i="10"/>
  <c r="S38" i="10"/>
  <c r="R38" i="10"/>
  <c r="Q38" i="10"/>
  <c r="P38" i="10"/>
  <c r="L38" i="10"/>
  <c r="K38" i="10"/>
  <c r="J38" i="10"/>
  <c r="I38" i="10"/>
  <c r="H38" i="10"/>
  <c r="G38" i="10"/>
  <c r="A38" i="10"/>
  <c r="C38" i="10"/>
  <c r="AA37" i="10"/>
  <c r="Z37" i="10"/>
  <c r="Y37" i="10"/>
  <c r="X37" i="10"/>
  <c r="S37" i="10"/>
  <c r="R37" i="10"/>
  <c r="Q37" i="10"/>
  <c r="P37" i="10"/>
  <c r="L37" i="10"/>
  <c r="K37" i="10"/>
  <c r="J37" i="10"/>
  <c r="I37" i="10"/>
  <c r="H37" i="10"/>
  <c r="G37" i="10"/>
  <c r="C37" i="10"/>
  <c r="AA36" i="10"/>
  <c r="Z36" i="10"/>
  <c r="Y36" i="10"/>
  <c r="X36" i="10"/>
  <c r="S36" i="10"/>
  <c r="R36" i="10"/>
  <c r="Q36" i="10"/>
  <c r="P36" i="10"/>
  <c r="L36" i="10"/>
  <c r="K36" i="10"/>
  <c r="J36" i="10"/>
  <c r="I36" i="10"/>
  <c r="H36" i="10"/>
  <c r="G36" i="10"/>
  <c r="C36" i="10"/>
  <c r="AA35" i="10"/>
  <c r="Z35" i="10"/>
  <c r="Y35" i="10"/>
  <c r="X35" i="10"/>
  <c r="S35" i="10"/>
  <c r="R35" i="10"/>
  <c r="Q35" i="10"/>
  <c r="P35" i="10"/>
  <c r="L35" i="10"/>
  <c r="K35" i="10"/>
  <c r="J35" i="10"/>
  <c r="I35" i="10"/>
  <c r="H35" i="10"/>
  <c r="G35" i="10"/>
  <c r="C35" i="10"/>
  <c r="AA34" i="10"/>
  <c r="Z34" i="10"/>
  <c r="Y34" i="10"/>
  <c r="X34" i="10"/>
  <c r="S34" i="10"/>
  <c r="R34" i="10"/>
  <c r="Q34" i="10"/>
  <c r="P34" i="10"/>
  <c r="L34" i="10"/>
  <c r="K34" i="10"/>
  <c r="J34" i="10"/>
  <c r="I34" i="10"/>
  <c r="H34" i="10"/>
  <c r="G34" i="10"/>
  <c r="C34" i="10"/>
  <c r="AA33" i="10"/>
  <c r="Y33" i="10"/>
  <c r="X33" i="10"/>
  <c r="S33" i="10"/>
  <c r="R33" i="10"/>
  <c r="Q33" i="10"/>
  <c r="P33" i="10"/>
  <c r="L33" i="10"/>
  <c r="K33" i="10"/>
  <c r="J33" i="10"/>
  <c r="I33" i="10"/>
  <c r="H33" i="10"/>
  <c r="G33" i="10"/>
  <c r="C33" i="10"/>
  <c r="AA32" i="10"/>
  <c r="Z32" i="10"/>
  <c r="Y32" i="10"/>
  <c r="X32" i="10"/>
  <c r="S32" i="10"/>
  <c r="R32" i="10"/>
  <c r="Q32" i="10"/>
  <c r="P32" i="10"/>
  <c r="L32" i="10"/>
  <c r="K32" i="10"/>
  <c r="J32" i="10"/>
  <c r="I32" i="10"/>
  <c r="H32" i="10"/>
  <c r="G32" i="10"/>
  <c r="C32" i="10"/>
  <c r="AA31" i="10"/>
  <c r="Z31" i="10"/>
  <c r="Y31" i="10"/>
  <c r="X31" i="10"/>
  <c r="S31" i="10"/>
  <c r="R31" i="10"/>
  <c r="Q31" i="10"/>
  <c r="P31" i="10"/>
  <c r="L31" i="10"/>
  <c r="K31" i="10"/>
  <c r="J31" i="10"/>
  <c r="I31" i="10"/>
  <c r="H31" i="10"/>
  <c r="G31" i="10"/>
  <c r="C31" i="10"/>
  <c r="AA30" i="10"/>
  <c r="Z30" i="10"/>
  <c r="Y30" i="10"/>
  <c r="X30" i="10"/>
  <c r="S30" i="10"/>
  <c r="R30" i="10"/>
  <c r="Q30" i="10"/>
  <c r="P30" i="10"/>
  <c r="L30" i="10"/>
  <c r="K30" i="10"/>
  <c r="J30" i="10"/>
  <c r="I30" i="10"/>
  <c r="H30" i="10"/>
  <c r="G30" i="10"/>
  <c r="C30" i="10"/>
  <c r="AA29" i="10"/>
  <c r="Z29" i="10"/>
  <c r="Y29" i="10"/>
  <c r="X29" i="10"/>
  <c r="S29" i="10"/>
  <c r="R29" i="10"/>
  <c r="Q29" i="10"/>
  <c r="P29" i="10"/>
  <c r="L29" i="10"/>
  <c r="K29" i="10"/>
  <c r="J29" i="10"/>
  <c r="I29" i="10"/>
  <c r="H29" i="10"/>
  <c r="G29" i="10"/>
  <c r="C29" i="10"/>
  <c r="AA28" i="10"/>
  <c r="Z28" i="10"/>
  <c r="Y28" i="10"/>
  <c r="X28" i="10"/>
  <c r="S28" i="10"/>
  <c r="R28" i="10"/>
  <c r="Q28" i="10"/>
  <c r="P28" i="10"/>
  <c r="L28" i="10"/>
  <c r="K28" i="10"/>
  <c r="J28" i="10"/>
  <c r="I28" i="10"/>
  <c r="H28" i="10"/>
  <c r="G28" i="10"/>
  <c r="C28" i="10"/>
  <c r="AA27" i="10"/>
  <c r="Z27" i="10"/>
  <c r="Y27" i="10"/>
  <c r="X27" i="10"/>
  <c r="S27" i="10"/>
  <c r="R27" i="10"/>
  <c r="Q27" i="10"/>
  <c r="P27" i="10"/>
  <c r="L27" i="10"/>
  <c r="K27" i="10"/>
  <c r="J27" i="10"/>
  <c r="I27" i="10"/>
  <c r="H27" i="10"/>
  <c r="G27" i="10"/>
  <c r="C27" i="10"/>
  <c r="AA26" i="10"/>
  <c r="Z26" i="10"/>
  <c r="Y26" i="10"/>
  <c r="X26" i="10"/>
  <c r="S26" i="10"/>
  <c r="R26" i="10"/>
  <c r="Q26" i="10"/>
  <c r="P26" i="10"/>
  <c r="L26" i="10"/>
  <c r="K26" i="10"/>
  <c r="J26" i="10"/>
  <c r="I26" i="10"/>
  <c r="H26" i="10"/>
  <c r="G26" i="10"/>
  <c r="C26" i="10"/>
  <c r="AA25" i="10"/>
  <c r="Z25" i="10"/>
  <c r="Y25" i="10"/>
  <c r="X25" i="10"/>
  <c r="S25" i="10"/>
  <c r="R25" i="10"/>
  <c r="Q25" i="10"/>
  <c r="P25" i="10"/>
  <c r="L25" i="10"/>
  <c r="K25" i="10"/>
  <c r="J25" i="10"/>
  <c r="I25" i="10"/>
  <c r="H25" i="10"/>
  <c r="G25" i="10"/>
  <c r="C25" i="10"/>
  <c r="AA24" i="10"/>
  <c r="Z24" i="10"/>
  <c r="Y24" i="10"/>
  <c r="X24" i="10"/>
  <c r="S24" i="10"/>
  <c r="R24" i="10"/>
  <c r="Q24" i="10"/>
  <c r="P24" i="10"/>
  <c r="L24" i="10"/>
  <c r="K24" i="10"/>
  <c r="J24" i="10"/>
  <c r="I24" i="10"/>
  <c r="H24" i="10"/>
  <c r="G24" i="10"/>
  <c r="C24" i="10"/>
  <c r="AA23" i="10"/>
  <c r="Z23" i="10"/>
  <c r="Y23" i="10"/>
  <c r="X23" i="10"/>
  <c r="S23" i="10"/>
  <c r="R23" i="10"/>
  <c r="Q23" i="10"/>
  <c r="P23" i="10"/>
  <c r="L23" i="10"/>
  <c r="K23" i="10"/>
  <c r="J23" i="10"/>
  <c r="I23" i="10"/>
  <c r="H23" i="10"/>
  <c r="G23" i="10"/>
  <c r="C23" i="10"/>
  <c r="AA22" i="10"/>
  <c r="Z22" i="10"/>
  <c r="Y22" i="10"/>
  <c r="X22" i="10"/>
  <c r="S22" i="10"/>
  <c r="R22" i="10"/>
  <c r="Q22" i="10"/>
  <c r="P22" i="10"/>
  <c r="L22" i="10"/>
  <c r="K22" i="10"/>
  <c r="J22" i="10"/>
  <c r="I22" i="10"/>
  <c r="H22" i="10"/>
  <c r="G22" i="10"/>
  <c r="C22" i="10"/>
  <c r="AA21" i="10"/>
  <c r="Z21" i="10"/>
  <c r="Y21" i="10"/>
  <c r="X21" i="10"/>
  <c r="S21" i="10"/>
  <c r="R21" i="10"/>
  <c r="Q21" i="10"/>
  <c r="P21" i="10"/>
  <c r="L21" i="10"/>
  <c r="K21" i="10"/>
  <c r="J21" i="10"/>
  <c r="I21" i="10"/>
  <c r="H21" i="10"/>
  <c r="G21" i="10"/>
  <c r="C21" i="10"/>
  <c r="AA20" i="10"/>
  <c r="Z20" i="10"/>
  <c r="Y20" i="10"/>
  <c r="X20" i="10"/>
  <c r="S20" i="10"/>
  <c r="R20" i="10"/>
  <c r="Q20" i="10"/>
  <c r="P20" i="10"/>
  <c r="L20" i="10"/>
  <c r="K20" i="10"/>
  <c r="J20" i="10"/>
  <c r="I20" i="10"/>
  <c r="H20" i="10"/>
  <c r="G20" i="10"/>
  <c r="C20" i="10"/>
  <c r="AA19" i="10"/>
  <c r="Z19" i="10"/>
  <c r="Y19" i="10"/>
  <c r="X19" i="10"/>
  <c r="S19" i="10"/>
  <c r="R19" i="10"/>
  <c r="Q19" i="10"/>
  <c r="P19" i="10"/>
  <c r="L19" i="10"/>
  <c r="K19" i="10"/>
  <c r="J19" i="10"/>
  <c r="I19" i="10"/>
  <c r="H19" i="10"/>
  <c r="G19" i="10"/>
  <c r="C19" i="10"/>
  <c r="AA18" i="10"/>
  <c r="Z18" i="10"/>
  <c r="Y18" i="10"/>
  <c r="X18" i="10"/>
  <c r="S18" i="10"/>
  <c r="R18" i="10"/>
  <c r="Q18" i="10"/>
  <c r="P18" i="10"/>
  <c r="L18" i="10"/>
  <c r="K18" i="10"/>
  <c r="J18" i="10"/>
  <c r="I18" i="10"/>
  <c r="H18" i="10"/>
  <c r="G18" i="10"/>
  <c r="C18" i="10"/>
  <c r="AA17" i="10"/>
  <c r="Z17" i="10"/>
  <c r="Y17" i="10"/>
  <c r="X17" i="10"/>
  <c r="S17" i="10"/>
  <c r="R17" i="10"/>
  <c r="Q17" i="10"/>
  <c r="P17" i="10"/>
  <c r="L17" i="10"/>
  <c r="K17" i="10"/>
  <c r="J17" i="10"/>
  <c r="I17" i="10"/>
  <c r="H17" i="10"/>
  <c r="G17" i="10"/>
  <c r="C17" i="10"/>
  <c r="AA16" i="10"/>
  <c r="Z16" i="10"/>
  <c r="Y16" i="10"/>
  <c r="X16" i="10"/>
  <c r="S16" i="10"/>
  <c r="R16" i="10"/>
  <c r="Q16" i="10"/>
  <c r="P16" i="10"/>
  <c r="L16" i="10"/>
  <c r="K16" i="10"/>
  <c r="J16" i="10"/>
  <c r="I16" i="10"/>
  <c r="H16" i="10"/>
  <c r="G16" i="10"/>
  <c r="C16" i="10"/>
  <c r="AA15" i="10"/>
  <c r="Z15" i="10"/>
  <c r="Y15" i="10"/>
  <c r="X15" i="10"/>
  <c r="S15" i="10"/>
  <c r="R15" i="10"/>
  <c r="Q15" i="10"/>
  <c r="P15" i="10"/>
  <c r="L15" i="10"/>
  <c r="K15" i="10"/>
  <c r="J15" i="10"/>
  <c r="I15" i="10"/>
  <c r="H15" i="10"/>
  <c r="G15" i="10"/>
  <c r="C15" i="10"/>
  <c r="AA14" i="10"/>
  <c r="Z14" i="10"/>
  <c r="Y14" i="10"/>
  <c r="X14" i="10"/>
  <c r="S14" i="10"/>
  <c r="R14" i="10"/>
  <c r="Q14" i="10"/>
  <c r="P14" i="10"/>
  <c r="L14" i="10"/>
  <c r="K14" i="10"/>
  <c r="J14" i="10"/>
  <c r="I14" i="10"/>
  <c r="H14" i="10"/>
  <c r="G14" i="10"/>
  <c r="C14" i="10"/>
  <c r="AA13" i="10"/>
  <c r="Z13" i="10"/>
  <c r="Y13" i="10"/>
  <c r="X13" i="10"/>
  <c r="S13" i="10"/>
  <c r="R13" i="10"/>
  <c r="Q13" i="10"/>
  <c r="P13" i="10"/>
  <c r="L13" i="10"/>
  <c r="K13" i="10"/>
  <c r="J13" i="10"/>
  <c r="I13" i="10"/>
  <c r="H13" i="10"/>
  <c r="G13" i="10"/>
  <c r="C13" i="10"/>
  <c r="AA12" i="10"/>
  <c r="Z12" i="10"/>
  <c r="Y12" i="10"/>
  <c r="X12" i="10"/>
  <c r="S12" i="10"/>
  <c r="R12" i="10"/>
  <c r="Q12" i="10"/>
  <c r="P12" i="10"/>
  <c r="L12" i="10"/>
  <c r="K12" i="10"/>
  <c r="J12" i="10"/>
  <c r="I12" i="10"/>
  <c r="H12" i="10"/>
  <c r="G12" i="10"/>
  <c r="C12" i="10"/>
  <c r="AA11" i="10"/>
  <c r="Z11" i="10"/>
  <c r="Y11" i="10"/>
  <c r="X11" i="10"/>
  <c r="S11" i="10"/>
  <c r="R11" i="10"/>
  <c r="Q11" i="10"/>
  <c r="P11" i="10"/>
  <c r="L11" i="10"/>
  <c r="K11" i="10"/>
  <c r="J11" i="10"/>
  <c r="I11" i="10"/>
  <c r="H11" i="10"/>
  <c r="G11" i="10"/>
  <c r="C11" i="10"/>
  <c r="AA10" i="10"/>
  <c r="Z10" i="10"/>
  <c r="Y10" i="10"/>
  <c r="X10" i="10"/>
  <c r="S10" i="10"/>
  <c r="R10" i="10"/>
  <c r="Q10" i="10"/>
  <c r="P10" i="10"/>
  <c r="L10" i="10"/>
  <c r="K10" i="10"/>
  <c r="J10" i="10"/>
  <c r="I10" i="10"/>
  <c r="H10" i="10"/>
  <c r="G10" i="10"/>
  <c r="C10" i="10"/>
  <c r="AA9" i="10"/>
  <c r="Z9" i="10"/>
  <c r="Y9" i="10"/>
  <c r="X9" i="10"/>
  <c r="S9" i="10"/>
  <c r="R9" i="10"/>
  <c r="Q9" i="10"/>
  <c r="P9" i="10"/>
  <c r="L9" i="10"/>
  <c r="K9" i="10"/>
  <c r="J9" i="10"/>
  <c r="I9" i="10"/>
  <c r="H9" i="10"/>
  <c r="G9" i="10"/>
  <c r="C9" i="10"/>
  <c r="AA8" i="10"/>
  <c r="Z8" i="10"/>
  <c r="Y8" i="10"/>
  <c r="X8" i="10"/>
  <c r="S8" i="10"/>
  <c r="R8" i="10"/>
  <c r="Q8" i="10"/>
  <c r="P8" i="10"/>
  <c r="L8" i="10"/>
  <c r="K8" i="10"/>
  <c r="J8" i="10"/>
  <c r="I8" i="10"/>
  <c r="H8" i="10"/>
  <c r="G8" i="10"/>
  <c r="C8" i="10"/>
  <c r="AA7" i="10"/>
  <c r="Z7" i="10"/>
  <c r="Y7" i="10"/>
  <c r="X7" i="10"/>
  <c r="S7" i="10"/>
  <c r="R7" i="10"/>
  <c r="Q7" i="10"/>
  <c r="P7" i="10"/>
  <c r="L7" i="10"/>
  <c r="K7" i="10"/>
  <c r="J7" i="10"/>
  <c r="I7" i="10"/>
  <c r="H7" i="10"/>
  <c r="G7" i="10"/>
  <c r="C7" i="10"/>
  <c r="AA6" i="10"/>
  <c r="Z6" i="10"/>
  <c r="Y6" i="10"/>
  <c r="X6" i="10"/>
  <c r="S6" i="10"/>
  <c r="R6" i="10"/>
  <c r="Q6" i="10"/>
  <c r="P6" i="10"/>
  <c r="L6" i="10"/>
  <c r="K6" i="10"/>
  <c r="J6" i="10"/>
  <c r="I6" i="10"/>
  <c r="H6" i="10"/>
  <c r="G6" i="10"/>
  <c r="C6" i="10"/>
  <c r="S5" i="10"/>
  <c r="R5" i="10"/>
  <c r="Q5" i="10"/>
  <c r="P5" i="10"/>
  <c r="L5" i="10"/>
  <c r="K5" i="10"/>
  <c r="J5" i="10"/>
  <c r="I5" i="10"/>
  <c r="H5" i="10"/>
  <c r="G5" i="10"/>
  <c r="C5" i="10"/>
  <c r="S4" i="10"/>
  <c r="R4" i="10"/>
  <c r="Q4" i="10"/>
  <c r="P4" i="10"/>
  <c r="L4" i="10"/>
  <c r="K4" i="10"/>
  <c r="J4" i="10"/>
  <c r="I4" i="10"/>
  <c r="H4" i="10"/>
  <c r="G4" i="10"/>
  <c r="C4" i="10"/>
  <c r="S3" i="10"/>
  <c r="R3" i="10"/>
  <c r="Q3" i="10"/>
  <c r="P3" i="10"/>
  <c r="L3" i="10"/>
  <c r="K3" i="10"/>
  <c r="J3" i="10"/>
  <c r="I3" i="10"/>
  <c r="H3" i="10"/>
  <c r="G3" i="10"/>
  <c r="C3" i="10"/>
  <c r="S2" i="10"/>
  <c r="R2" i="10"/>
  <c r="Q2" i="10"/>
  <c r="P2" i="10"/>
  <c r="L2" i="10"/>
  <c r="K2" i="10"/>
  <c r="J2" i="10"/>
  <c r="I2" i="10"/>
  <c r="H2" i="10"/>
  <c r="G2" i="10"/>
  <c r="C2" i="10"/>
  <c r="A50" i="10"/>
  <c r="C50" i="10"/>
  <c r="A59" i="10"/>
  <c r="A71" i="10"/>
  <c r="A51" i="10"/>
  <c r="C51" i="10"/>
  <c r="A63" i="10"/>
  <c r="C63" i="10"/>
  <c r="A52" i="10"/>
  <c r="A64" i="10"/>
  <c r="A76" i="10"/>
  <c r="C76" i="10"/>
  <c r="A53" i="10"/>
  <c r="A54" i="10"/>
  <c r="A66" i="10"/>
  <c r="C54" i="10"/>
  <c r="A55" i="10"/>
  <c r="C55" i="10"/>
  <c r="A56" i="10"/>
  <c r="A68" i="10"/>
  <c r="A80" i="10"/>
  <c r="C80" i="10"/>
  <c r="A57" i="10"/>
  <c r="A58" i="10"/>
  <c r="A70" i="10"/>
  <c r="A82" i="10"/>
  <c r="C82" i="10"/>
  <c r="A61" i="10"/>
  <c r="C61" i="10"/>
  <c r="A73" i="10"/>
  <c r="A60" i="10"/>
  <c r="A72" i="10"/>
  <c r="A94" i="10"/>
  <c r="A106" i="10"/>
  <c r="C60" i="10"/>
  <c r="C58" i="10"/>
  <c r="A67" i="10"/>
  <c r="A79" i="10"/>
  <c r="C59" i="10"/>
  <c r="C72" i="10"/>
  <c r="A84" i="10"/>
  <c r="C71" i="10"/>
  <c r="A83" i="10"/>
  <c r="C66" i="10"/>
  <c r="A78" i="10"/>
  <c r="A88" i="10"/>
  <c r="C94" i="10"/>
  <c r="A92" i="10"/>
  <c r="A104" i="10"/>
  <c r="C70" i="10"/>
  <c r="C64" i="10"/>
  <c r="C68" i="10"/>
  <c r="C56" i="10"/>
  <c r="C52" i="10"/>
  <c r="C92" i="10"/>
  <c r="C67" i="10"/>
  <c r="C73" i="10"/>
  <c r="A85" i="10"/>
  <c r="C57" i="10"/>
  <c r="A69" i="10"/>
  <c r="C53" i="10"/>
  <c r="A65" i="10"/>
  <c r="A75" i="10"/>
  <c r="A62" i="10"/>
  <c r="A118" i="10"/>
  <c r="C106" i="10"/>
  <c r="C83" i="10"/>
  <c r="A95" i="10"/>
  <c r="A100" i="10"/>
  <c r="C88" i="10"/>
  <c r="A116" i="10"/>
  <c r="C104" i="10"/>
  <c r="C78" i="10"/>
  <c r="A90" i="10"/>
  <c r="A96" i="10"/>
  <c r="C84" i="10"/>
  <c r="C69" i="10"/>
  <c r="A81" i="10"/>
  <c r="A74" i="10"/>
  <c r="C62" i="10"/>
  <c r="A87" i="10"/>
  <c r="C75" i="10"/>
  <c r="C65" i="10"/>
  <c r="A77" i="10"/>
  <c r="A97" i="10"/>
  <c r="C85" i="10"/>
  <c r="A91" i="10"/>
  <c r="C79" i="10"/>
  <c r="C118" i="10"/>
  <c r="A130" i="10"/>
  <c r="A108" i="10"/>
  <c r="C96" i="10"/>
  <c r="C116" i="10"/>
  <c r="A128" i="10"/>
  <c r="A102" i="10"/>
  <c r="C90" i="10"/>
  <c r="C100" i="10"/>
  <c r="A112" i="10"/>
  <c r="A107" i="10"/>
  <c r="C95" i="10"/>
  <c r="C97" i="10"/>
  <c r="A109" i="10"/>
  <c r="A89" i="10"/>
  <c r="C77" i="10"/>
  <c r="A93" i="10"/>
  <c r="C81" i="10"/>
  <c r="C87" i="10"/>
  <c r="A99" i="10"/>
  <c r="C91" i="10"/>
  <c r="A103" i="10"/>
  <c r="A86" i="10"/>
  <c r="C74" i="10"/>
  <c r="A142" i="10"/>
  <c r="C130" i="10"/>
  <c r="A124" i="10"/>
  <c r="C112" i="10"/>
  <c r="A140" i="10"/>
  <c r="C128" i="10"/>
  <c r="C107" i="10"/>
  <c r="A119" i="10"/>
  <c r="C102" i="10"/>
  <c r="A114" i="10"/>
  <c r="A120" i="10"/>
  <c r="C108" i="10"/>
  <c r="A111" i="10"/>
  <c r="C99" i="10"/>
  <c r="C109" i="10"/>
  <c r="A121" i="10"/>
  <c r="C103" i="10"/>
  <c r="A115" i="10"/>
  <c r="A98" i="10"/>
  <c r="C86" i="10"/>
  <c r="C93" i="10"/>
  <c r="A105" i="10"/>
  <c r="C89" i="10"/>
  <c r="A101" i="10"/>
  <c r="C142" i="10"/>
  <c r="A154" i="10"/>
  <c r="C114" i="10"/>
  <c r="A126" i="10"/>
  <c r="C140" i="10"/>
  <c r="A152" i="10"/>
  <c r="A131" i="10"/>
  <c r="C119" i="10"/>
  <c r="C120" i="10"/>
  <c r="A132" i="10"/>
  <c r="A136" i="10"/>
  <c r="C124" i="10"/>
  <c r="A133" i="10"/>
  <c r="C121" i="10"/>
  <c r="A110" i="10"/>
  <c r="C98" i="10"/>
  <c r="A113" i="10"/>
  <c r="C101" i="10"/>
  <c r="C105" i="10"/>
  <c r="A117" i="10"/>
  <c r="A127" i="10"/>
  <c r="C115" i="10"/>
  <c r="C111" i="10"/>
  <c r="A123" i="10"/>
  <c r="A166" i="10"/>
  <c r="C154" i="10"/>
  <c r="A144" i="10"/>
  <c r="C132" i="10"/>
  <c r="A164" i="10"/>
  <c r="C152" i="10"/>
  <c r="A138" i="10"/>
  <c r="C126" i="10"/>
  <c r="A148" i="10"/>
  <c r="C136" i="10"/>
  <c r="C131" i="10"/>
  <c r="A143" i="10"/>
  <c r="C123" i="10"/>
  <c r="A135" i="10"/>
  <c r="A129" i="10"/>
  <c r="C117" i="10"/>
  <c r="A122" i="10"/>
  <c r="C110" i="10"/>
  <c r="C127" i="10"/>
  <c r="A139" i="10"/>
  <c r="C113" i="10"/>
  <c r="A125" i="10"/>
  <c r="C133" i="10"/>
  <c r="A145" i="10"/>
  <c r="A178" i="10"/>
  <c r="C166" i="10"/>
  <c r="A155" i="10"/>
  <c r="C143" i="10"/>
  <c r="A160" i="10"/>
  <c r="C148" i="10"/>
  <c r="C164" i="10"/>
  <c r="A176" i="10"/>
  <c r="A150" i="10"/>
  <c r="C138" i="10"/>
  <c r="C144" i="10"/>
  <c r="A156" i="10"/>
  <c r="C145" i="10"/>
  <c r="A157" i="10"/>
  <c r="C125" i="10"/>
  <c r="A137" i="10"/>
  <c r="A134" i="10"/>
  <c r="C122" i="10"/>
  <c r="C129" i="10"/>
  <c r="A141" i="10"/>
  <c r="A151" i="10"/>
  <c r="C139" i="10"/>
  <c r="C135" i="10"/>
  <c r="A147" i="10"/>
  <c r="A190" i="10"/>
  <c r="C178" i="10"/>
  <c r="A188" i="10"/>
  <c r="C176" i="10"/>
  <c r="A162" i="10"/>
  <c r="C150" i="10"/>
  <c r="A172" i="10"/>
  <c r="C160" i="10"/>
  <c r="A168" i="10"/>
  <c r="C156" i="10"/>
  <c r="C155" i="10"/>
  <c r="A167" i="10"/>
  <c r="C147" i="10"/>
  <c r="A159" i="10"/>
  <c r="A153" i="10"/>
  <c r="C141" i="10"/>
  <c r="C137" i="10"/>
  <c r="A149" i="10"/>
  <c r="C151" i="10"/>
  <c r="A163" i="10"/>
  <c r="C157" i="10"/>
  <c r="A169" i="10"/>
  <c r="A146" i="10"/>
  <c r="C134" i="10"/>
  <c r="C190" i="10"/>
  <c r="A202" i="10"/>
  <c r="C202" i="10"/>
  <c r="A179" i="10"/>
  <c r="C167" i="10"/>
  <c r="C168" i="10"/>
  <c r="A180" i="10"/>
  <c r="C162" i="10"/>
  <c r="A174" i="10"/>
  <c r="C172" i="10"/>
  <c r="A184" i="10"/>
  <c r="A200" i="10"/>
  <c r="C188" i="10"/>
  <c r="C163" i="10"/>
  <c r="A175" i="10"/>
  <c r="A158" i="10"/>
  <c r="C146" i="10"/>
  <c r="C153" i="10"/>
  <c r="A165" i="10"/>
  <c r="C169" i="10"/>
  <c r="A181" i="10"/>
  <c r="C149" i="10"/>
  <c r="A161" i="10"/>
  <c r="A171" i="10"/>
  <c r="C159" i="10"/>
  <c r="A186" i="10"/>
  <c r="C174" i="10"/>
  <c r="C184" i="10"/>
  <c r="A196" i="10"/>
  <c r="A192" i="10"/>
  <c r="C180" i="10"/>
  <c r="A212" i="10"/>
  <c r="C212" i="10"/>
  <c r="C200" i="10"/>
  <c r="A191" i="10"/>
  <c r="C179" i="10"/>
  <c r="C161" i="10"/>
  <c r="A173" i="10"/>
  <c r="A170" i="10"/>
  <c r="C158" i="10"/>
  <c r="A193" i="10"/>
  <c r="C181" i="10"/>
  <c r="C165" i="10"/>
  <c r="A177" i="10"/>
  <c r="A187" i="10"/>
  <c r="C175" i="10"/>
  <c r="C171" i="10"/>
  <c r="A183" i="10"/>
  <c r="C196" i="10"/>
  <c r="A208" i="10"/>
  <c r="C208" i="10"/>
  <c r="C191" i="10"/>
  <c r="A203" i="10"/>
  <c r="C203" i="10"/>
  <c r="A204" i="10"/>
  <c r="C204" i="10"/>
  <c r="C192" i="10"/>
  <c r="C186" i="10"/>
  <c r="A198" i="10"/>
  <c r="A195" i="10"/>
  <c r="C183" i="10"/>
  <c r="A189" i="10"/>
  <c r="C177" i="10"/>
  <c r="A182" i="10"/>
  <c r="C170" i="10"/>
  <c r="C173" i="10"/>
  <c r="A185" i="10"/>
  <c r="A199" i="10"/>
  <c r="C187" i="10"/>
  <c r="C193" i="10"/>
  <c r="A205" i="10"/>
  <c r="C205" i="10"/>
  <c r="A210" i="10"/>
  <c r="C210" i="10"/>
  <c r="C198" i="10"/>
  <c r="A197" i="10"/>
  <c r="C185" i="10"/>
  <c r="A201" i="10"/>
  <c r="C201" i="10"/>
  <c r="C189" i="10"/>
  <c r="C199" i="10"/>
  <c r="A211" i="10"/>
  <c r="C211" i="10"/>
  <c r="A194" i="10"/>
  <c r="C182" i="10"/>
  <c r="C195" i="10"/>
  <c r="A207" i="10"/>
  <c r="C207" i="10"/>
  <c r="C194" i="10"/>
  <c r="A206" i="10"/>
  <c r="C206" i="10"/>
  <c r="A209" i="10"/>
  <c r="C209" i="10"/>
  <c r="C197" i="10"/>
  <c r="H27" i="18"/>
  <c r="H28" i="18"/>
  <c r="H29" i="18"/>
  <c r="H30" i="18"/>
  <c r="H31" i="18"/>
  <c r="H32" i="18"/>
  <c r="H33" i="18"/>
  <c r="H34" i="18"/>
  <c r="H35" i="18"/>
  <c r="H4" i="18"/>
  <c r="H5" i="18"/>
  <c r="H6" i="18"/>
  <c r="H7" i="18"/>
  <c r="H8" i="18"/>
  <c r="H9" i="18"/>
  <c r="H10" i="18"/>
  <c r="H11" i="18"/>
  <c r="H12" i="18"/>
  <c r="H13" i="18"/>
  <c r="H14" i="18"/>
  <c r="H15" i="18"/>
  <c r="H16" i="18"/>
  <c r="H17" i="18"/>
  <c r="H18" i="18"/>
  <c r="H19" i="18"/>
  <c r="H20" i="18"/>
  <c r="H21" i="18"/>
  <c r="H22" i="18"/>
  <c r="H23" i="18"/>
  <c r="H24" i="18"/>
  <c r="H25" i="18"/>
  <c r="H26" i="18"/>
  <c r="H3" i="18"/>
  <c r="C85" i="18"/>
  <c r="C84" i="18"/>
  <c r="C83" i="18"/>
  <c r="C82" i="18"/>
  <c r="C81" i="18"/>
  <c r="C80" i="18"/>
  <c r="C79" i="18"/>
  <c r="C78" i="18"/>
  <c r="C77" i="18"/>
  <c r="C76" i="18"/>
  <c r="C75" i="18"/>
  <c r="C74" i="18"/>
  <c r="C73" i="18"/>
  <c r="C72" i="18"/>
  <c r="C71" i="18"/>
  <c r="C70" i="18"/>
  <c r="C69" i="18"/>
  <c r="C68" i="18"/>
  <c r="C67" i="18"/>
  <c r="C66" i="18"/>
  <c r="C65" i="18"/>
  <c r="C64" i="18"/>
  <c r="C63" i="18"/>
  <c r="C62" i="18"/>
  <c r="C61" i="18"/>
  <c r="C60" i="18"/>
  <c r="C59" i="18"/>
  <c r="C58" i="18"/>
  <c r="C57" i="18"/>
  <c r="C56" i="18"/>
  <c r="C55" i="18"/>
  <c r="C54" i="18"/>
  <c r="C53" i="18"/>
  <c r="C52" i="18"/>
  <c r="C51" i="18"/>
  <c r="C50" i="18"/>
  <c r="C49" i="18"/>
  <c r="C48" i="18"/>
  <c r="C47" i="18"/>
  <c r="C46" i="18"/>
  <c r="C45" i="18"/>
  <c r="C44" i="18"/>
  <c r="C43" i="18"/>
  <c r="C42" i="18"/>
  <c r="C41" i="18"/>
  <c r="C40" i="18"/>
  <c r="C39" i="18"/>
  <c r="C38" i="18"/>
  <c r="C37" i="18"/>
  <c r="C36" i="18"/>
  <c r="C35" i="18"/>
  <c r="C34" i="18"/>
  <c r="C33" i="18"/>
  <c r="C32" i="18"/>
  <c r="C31" i="18"/>
  <c r="C30" i="18"/>
  <c r="C29" i="18"/>
  <c r="C28" i="18"/>
  <c r="C27" i="18"/>
  <c r="C26" i="18"/>
  <c r="C25" i="18"/>
  <c r="C24" i="18"/>
  <c r="C23" i="18"/>
  <c r="C22" i="18"/>
  <c r="C21" i="18"/>
  <c r="C20" i="18"/>
  <c r="C19" i="18"/>
  <c r="C18" i="18"/>
  <c r="C17" i="18"/>
  <c r="C16" i="18"/>
  <c r="C15" i="18"/>
  <c r="C14" i="18"/>
  <c r="C13" i="18"/>
  <c r="C12" i="18"/>
  <c r="C11" i="18"/>
  <c r="C10" i="18"/>
  <c r="C9" i="18"/>
  <c r="C8" i="18"/>
  <c r="C7" i="18"/>
  <c r="C6" i="18"/>
  <c r="C5" i="18"/>
  <c r="C4" i="18"/>
  <c r="C3" i="18"/>
  <c r="C2" i="18"/>
  <c r="H27" i="16"/>
  <c r="H28" i="16"/>
  <c r="H29" i="16"/>
  <c r="H30" i="16"/>
  <c r="H31" i="16"/>
  <c r="H32" i="16"/>
  <c r="H33" i="16"/>
  <c r="H34" i="16"/>
  <c r="H35" i="16"/>
  <c r="C85" i="16"/>
  <c r="C84" i="16"/>
  <c r="C83" i="16"/>
  <c r="C82" i="16"/>
  <c r="C81" i="16"/>
  <c r="C80" i="16"/>
  <c r="C79" i="16"/>
  <c r="C78" i="16"/>
  <c r="C77" i="16"/>
  <c r="C76" i="16"/>
  <c r="C75" i="16"/>
  <c r="C74" i="16"/>
  <c r="C73" i="16"/>
  <c r="C72" i="16"/>
  <c r="C71" i="16"/>
  <c r="C70" i="16"/>
  <c r="C69" i="16"/>
  <c r="C68" i="16"/>
  <c r="C67" i="16"/>
  <c r="C66" i="16"/>
  <c r="C65" i="16"/>
  <c r="C64" i="16"/>
  <c r="C63" i="16"/>
  <c r="C62" i="16"/>
  <c r="C61" i="16"/>
  <c r="C60" i="16"/>
  <c r="C59" i="16"/>
  <c r="C58" i="16"/>
  <c r="C57" i="16"/>
  <c r="C56" i="16"/>
  <c r="C55" i="16"/>
  <c r="C54" i="16"/>
  <c r="C53" i="16"/>
  <c r="C52" i="16"/>
  <c r="C51" i="16"/>
  <c r="C50" i="16"/>
  <c r="C49" i="16"/>
  <c r="C48" i="16"/>
  <c r="C47" i="16"/>
  <c r="C46" i="16"/>
  <c r="C45" i="16"/>
  <c r="C44" i="16"/>
  <c r="C43" i="16"/>
  <c r="C42" i="16"/>
  <c r="C41" i="16"/>
  <c r="C40" i="16"/>
  <c r="C39" i="16"/>
  <c r="C38" i="16"/>
  <c r="C37" i="16"/>
  <c r="C36" i="16"/>
  <c r="C35" i="16"/>
  <c r="C34" i="16"/>
  <c r="C33" i="16"/>
  <c r="C32" i="16"/>
  <c r="C31" i="16"/>
  <c r="C30" i="16"/>
  <c r="C29" i="16"/>
  <c r="C28" i="16"/>
  <c r="C27" i="16"/>
  <c r="C26" i="16"/>
  <c r="C25" i="16"/>
  <c r="C24" i="16"/>
  <c r="C23" i="16"/>
  <c r="C22" i="16"/>
  <c r="C21" i="16"/>
  <c r="C20" i="16"/>
  <c r="C19" i="16"/>
  <c r="C18" i="16"/>
  <c r="C17" i="16"/>
  <c r="C16" i="16"/>
  <c r="C15" i="16"/>
  <c r="C14" i="16"/>
  <c r="C13" i="16"/>
  <c r="C12" i="16"/>
  <c r="C11" i="16"/>
  <c r="C10" i="16"/>
  <c r="C9" i="16"/>
  <c r="C8" i="16"/>
  <c r="C7" i="16"/>
  <c r="C6" i="16"/>
  <c r="C5" i="16"/>
  <c r="C4" i="16"/>
  <c r="C3" i="16"/>
  <c r="C2" i="16"/>
  <c r="H4" i="16"/>
  <c r="H5" i="16"/>
  <c r="H6" i="16"/>
  <c r="H7" i="16"/>
  <c r="H8" i="16"/>
  <c r="H9" i="16"/>
  <c r="H10" i="16"/>
  <c r="H11" i="16"/>
  <c r="H12" i="16"/>
  <c r="H13" i="16"/>
  <c r="H14" i="16"/>
  <c r="H15" i="16"/>
  <c r="H16" i="16"/>
  <c r="H17" i="16"/>
  <c r="H18" i="16"/>
  <c r="H19" i="16"/>
  <c r="H20" i="16"/>
  <c r="H21" i="16"/>
  <c r="H22" i="16"/>
  <c r="H23" i="16"/>
  <c r="H24" i="16"/>
  <c r="H25" i="16"/>
  <c r="H26" i="16"/>
  <c r="H3" i="16"/>
  <c r="J35" i="20"/>
  <c r="J36" i="20"/>
  <c r="O48" i="20"/>
  <c r="N48" i="20"/>
  <c r="M48" i="20"/>
  <c r="L48" i="20"/>
  <c r="K48" i="20"/>
  <c r="J48" i="20"/>
  <c r="I48" i="20"/>
  <c r="O47" i="20"/>
  <c r="N47" i="20"/>
  <c r="M47" i="20"/>
  <c r="L47" i="20"/>
  <c r="K47" i="20"/>
  <c r="J47" i="20"/>
  <c r="I47" i="20"/>
  <c r="O46" i="20"/>
  <c r="N46" i="20"/>
  <c r="M46" i="20"/>
  <c r="L46" i="20"/>
  <c r="K46" i="20"/>
  <c r="J46" i="20"/>
  <c r="I46" i="20"/>
  <c r="O45" i="20"/>
  <c r="N45" i="20"/>
  <c r="M45" i="20"/>
  <c r="L45" i="20"/>
  <c r="K45" i="20"/>
  <c r="J45" i="20"/>
  <c r="I45" i="20"/>
  <c r="O44" i="20"/>
  <c r="N44" i="20"/>
  <c r="M44" i="20"/>
  <c r="L44" i="20"/>
  <c r="K44" i="20"/>
  <c r="J44" i="20"/>
  <c r="I44" i="20"/>
  <c r="O43" i="20"/>
  <c r="N43" i="20"/>
  <c r="M43" i="20"/>
  <c r="L43" i="20"/>
  <c r="K43" i="20"/>
  <c r="J43" i="20"/>
  <c r="I43" i="20"/>
  <c r="O42" i="20"/>
  <c r="N42" i="20"/>
  <c r="M42" i="20"/>
  <c r="L42" i="20"/>
  <c r="K42" i="20"/>
  <c r="J42" i="20"/>
  <c r="I42" i="20"/>
  <c r="O41" i="20"/>
  <c r="N41" i="20"/>
  <c r="M41" i="20"/>
  <c r="L41" i="20"/>
  <c r="K41" i="20"/>
  <c r="J41" i="20"/>
  <c r="I41" i="20"/>
  <c r="O40" i="20"/>
  <c r="N40" i="20"/>
  <c r="M40" i="20"/>
  <c r="L40" i="20"/>
  <c r="K40" i="20"/>
  <c r="J40" i="20"/>
  <c r="I40" i="20"/>
  <c r="O39" i="20"/>
  <c r="N39" i="20"/>
  <c r="M39" i="20"/>
  <c r="L39" i="20"/>
  <c r="K39" i="20"/>
  <c r="J39" i="20"/>
  <c r="I39" i="20"/>
  <c r="O38" i="20"/>
  <c r="N38" i="20"/>
  <c r="M38" i="20"/>
  <c r="L38" i="20"/>
  <c r="K38" i="20"/>
  <c r="J38" i="20"/>
  <c r="I38" i="20"/>
  <c r="O37" i="20"/>
  <c r="N37" i="20"/>
  <c r="M37" i="20"/>
  <c r="L37" i="20"/>
  <c r="K37" i="20"/>
  <c r="J37" i="20"/>
  <c r="I37" i="20"/>
  <c r="O36" i="20"/>
  <c r="N36" i="20"/>
  <c r="M36" i="20"/>
  <c r="L36" i="20"/>
  <c r="K36" i="20"/>
  <c r="I36" i="20"/>
  <c r="O35" i="20"/>
  <c r="N35" i="20"/>
  <c r="M35" i="20"/>
  <c r="L35" i="20"/>
  <c r="K35" i="20"/>
  <c r="I35" i="20"/>
  <c r="O34" i="20"/>
  <c r="N34" i="20"/>
  <c r="M34" i="20"/>
  <c r="L34" i="20"/>
  <c r="K34" i="20"/>
  <c r="J34" i="20"/>
  <c r="I34" i="20"/>
  <c r="O33" i="20"/>
  <c r="N33" i="20"/>
  <c r="M33" i="20"/>
  <c r="L33" i="20"/>
  <c r="K33" i="20"/>
  <c r="J33" i="20"/>
  <c r="I33" i="20"/>
  <c r="O32" i="20"/>
  <c r="N32" i="20"/>
  <c r="M32" i="20"/>
  <c r="L32" i="20"/>
  <c r="K32" i="20"/>
  <c r="J32" i="20"/>
  <c r="I32" i="20"/>
  <c r="O31" i="20"/>
  <c r="N31" i="20"/>
  <c r="M31" i="20"/>
  <c r="L31" i="20"/>
  <c r="K31" i="20"/>
  <c r="J31" i="20"/>
  <c r="I31" i="20"/>
  <c r="O30" i="20"/>
  <c r="N30" i="20"/>
  <c r="M30" i="20"/>
  <c r="L30" i="20"/>
  <c r="K30" i="20"/>
  <c r="J30" i="20"/>
  <c r="I30" i="20"/>
  <c r="O29" i="20"/>
  <c r="N29" i="20"/>
  <c r="M29" i="20"/>
  <c r="L29" i="20"/>
  <c r="K29" i="20"/>
  <c r="J29" i="20"/>
  <c r="I29" i="20"/>
  <c r="O28" i="20"/>
  <c r="N28" i="20"/>
  <c r="M28" i="20"/>
  <c r="L28" i="20"/>
  <c r="K28" i="20"/>
  <c r="J28" i="20"/>
  <c r="I28" i="20"/>
  <c r="O27" i="20"/>
  <c r="N27" i="20"/>
  <c r="M27" i="20"/>
  <c r="L27" i="20"/>
  <c r="K27" i="20"/>
  <c r="J27" i="20"/>
  <c r="I27" i="20"/>
  <c r="I11" i="20"/>
  <c r="O24" i="20"/>
  <c r="N24" i="20"/>
  <c r="M24" i="20"/>
  <c r="L24" i="20"/>
  <c r="K24" i="20"/>
  <c r="J24" i="20"/>
  <c r="I24" i="20"/>
  <c r="O23" i="20"/>
  <c r="N23" i="20"/>
  <c r="M23" i="20"/>
  <c r="L23" i="20"/>
  <c r="K23" i="20"/>
  <c r="J23" i="20"/>
  <c r="I23" i="20"/>
  <c r="O22" i="20"/>
  <c r="N22" i="20"/>
  <c r="M22" i="20"/>
  <c r="L22" i="20"/>
  <c r="K22" i="20"/>
  <c r="J22" i="20"/>
  <c r="I22" i="20"/>
  <c r="O21" i="20"/>
  <c r="N21" i="20"/>
  <c r="M21" i="20"/>
  <c r="L21" i="20"/>
  <c r="K21" i="20"/>
  <c r="J21" i="20"/>
  <c r="I21" i="20"/>
  <c r="O20" i="20"/>
  <c r="N20" i="20"/>
  <c r="M20" i="20"/>
  <c r="L20" i="20"/>
  <c r="K20" i="20"/>
  <c r="J20" i="20"/>
  <c r="I20" i="20"/>
  <c r="O19" i="20"/>
  <c r="N19" i="20"/>
  <c r="M19" i="20"/>
  <c r="L19" i="20"/>
  <c r="K19" i="20"/>
  <c r="J19" i="20"/>
  <c r="I19" i="20"/>
  <c r="O18" i="20"/>
  <c r="N18" i="20"/>
  <c r="M18" i="20"/>
  <c r="L18" i="20"/>
  <c r="K18" i="20"/>
  <c r="J18" i="20"/>
  <c r="I18" i="20"/>
  <c r="O17" i="20"/>
  <c r="N17" i="20"/>
  <c r="M17" i="20"/>
  <c r="L17" i="20"/>
  <c r="K17" i="20"/>
  <c r="J17" i="20"/>
  <c r="I17" i="20"/>
  <c r="O16" i="20"/>
  <c r="N16" i="20"/>
  <c r="M16" i="20"/>
  <c r="L16" i="20"/>
  <c r="K16" i="20"/>
  <c r="J16" i="20"/>
  <c r="I16" i="20"/>
  <c r="O15" i="20"/>
  <c r="N15" i="20"/>
  <c r="M15" i="20"/>
  <c r="L15" i="20"/>
  <c r="K15" i="20"/>
  <c r="J15" i="20"/>
  <c r="I15" i="20"/>
  <c r="O14" i="20"/>
  <c r="N14" i="20"/>
  <c r="M14" i="20"/>
  <c r="L14" i="20"/>
  <c r="K14" i="20"/>
  <c r="J14" i="20"/>
  <c r="I14" i="20"/>
  <c r="O13" i="20"/>
  <c r="N13" i="20"/>
  <c r="M13" i="20"/>
  <c r="L13" i="20"/>
  <c r="K13" i="20"/>
  <c r="J13" i="20"/>
  <c r="I13" i="20"/>
  <c r="O12" i="20"/>
  <c r="N12" i="20"/>
  <c r="M12" i="20"/>
  <c r="L12" i="20"/>
  <c r="K12" i="20"/>
  <c r="J12" i="20"/>
  <c r="I12" i="20"/>
  <c r="O11" i="20"/>
  <c r="N11" i="20"/>
  <c r="M11" i="20"/>
  <c r="L11" i="20"/>
  <c r="K11" i="20"/>
  <c r="J11" i="20"/>
  <c r="W18" i="20"/>
  <c r="V18" i="20"/>
  <c r="U18" i="20"/>
  <c r="T18" i="20"/>
  <c r="W17" i="20"/>
  <c r="V17" i="20"/>
  <c r="U17" i="20"/>
  <c r="T17" i="20"/>
  <c r="W16" i="20"/>
  <c r="V16" i="20"/>
  <c r="U16" i="20"/>
  <c r="T16" i="20"/>
  <c r="W15" i="20"/>
  <c r="V15" i="20"/>
  <c r="U15" i="20"/>
  <c r="T15" i="20"/>
  <c r="W14" i="20"/>
  <c r="V14" i="20"/>
  <c r="U14" i="20"/>
  <c r="T14" i="20"/>
  <c r="W13" i="20"/>
  <c r="V13" i="20"/>
  <c r="U13" i="20"/>
  <c r="T13" i="20"/>
  <c r="W12" i="20"/>
  <c r="V12" i="20"/>
  <c r="U12" i="20"/>
  <c r="T12" i="20"/>
  <c r="W11" i="20"/>
  <c r="V11" i="20"/>
  <c r="U11" i="20"/>
  <c r="T11" i="20"/>
  <c r="W10" i="20"/>
  <c r="V10" i="20"/>
  <c r="U10" i="20"/>
  <c r="T10" i="20"/>
  <c r="O10" i="20"/>
  <c r="N10" i="20"/>
  <c r="M10" i="20"/>
  <c r="L10" i="20"/>
  <c r="K10" i="20"/>
  <c r="J10" i="20"/>
  <c r="I10" i="20"/>
  <c r="A6" i="20"/>
  <c r="A7" i="20"/>
  <c r="H27" i="20"/>
  <c r="H14" i="20"/>
  <c r="H15" i="20"/>
  <c r="H16" i="20"/>
  <c r="H17" i="20"/>
  <c r="H18" i="20"/>
  <c r="H19" i="20"/>
  <c r="H20" i="20"/>
  <c r="H21" i="20"/>
  <c r="H22" i="20"/>
  <c r="H23" i="20"/>
  <c r="H24" i="20"/>
  <c r="H11" i="20"/>
  <c r="H40" i="20"/>
  <c r="H41" i="20"/>
  <c r="H42" i="20"/>
  <c r="H43" i="20"/>
  <c r="H44" i="20"/>
  <c r="H45" i="20"/>
  <c r="H46" i="20"/>
  <c r="H47" i="20"/>
  <c r="H48" i="20"/>
  <c r="E15" i="20"/>
  <c r="D15" i="20"/>
  <c r="E21" i="20"/>
  <c r="E14" i="20"/>
  <c r="D14" i="20"/>
  <c r="E20" i="20"/>
  <c r="E13" i="20"/>
  <c r="D13" i="20"/>
  <c r="E19" i="20"/>
  <c r="E12" i="20"/>
  <c r="D12" i="20"/>
  <c r="E18" i="20"/>
  <c r="E11" i="20"/>
  <c r="D11" i="20"/>
  <c r="E17" i="20"/>
  <c r="E10" i="20"/>
  <c r="D10" i="20"/>
  <c r="E16" i="20"/>
  <c r="C85" i="20"/>
  <c r="C84" i="20"/>
  <c r="C83" i="20"/>
  <c r="C82" i="20"/>
  <c r="C81" i="20"/>
  <c r="C80" i="20"/>
  <c r="C79" i="20"/>
  <c r="D85" i="20"/>
  <c r="C78" i="20"/>
  <c r="D84" i="20"/>
  <c r="C77" i="20"/>
  <c r="D83" i="20"/>
  <c r="C76" i="20"/>
  <c r="D82" i="20"/>
  <c r="C75" i="20"/>
  <c r="D81" i="20"/>
  <c r="C74" i="20"/>
  <c r="D80" i="20"/>
  <c r="C73" i="20"/>
  <c r="D79" i="20"/>
  <c r="E85" i="20"/>
  <c r="C72" i="20"/>
  <c r="D78" i="20"/>
  <c r="E84" i="20"/>
  <c r="C71" i="20"/>
  <c r="D77" i="20"/>
  <c r="E83" i="20"/>
  <c r="C70" i="20"/>
  <c r="D76" i="20"/>
  <c r="E82" i="20"/>
  <c r="C69" i="20"/>
  <c r="D75" i="20"/>
  <c r="E81" i="20"/>
  <c r="C68" i="20"/>
  <c r="D74" i="20"/>
  <c r="E80" i="20"/>
  <c r="C67" i="20"/>
  <c r="D73" i="20"/>
  <c r="E79" i="20"/>
  <c r="C66" i="20"/>
  <c r="D72" i="20"/>
  <c r="E78" i="20"/>
  <c r="C65" i="20"/>
  <c r="D71" i="20"/>
  <c r="E77" i="20"/>
  <c r="C64" i="20"/>
  <c r="D70" i="20"/>
  <c r="E76" i="20"/>
  <c r="C63" i="20"/>
  <c r="D69" i="20"/>
  <c r="E75" i="20"/>
  <c r="C62" i="20"/>
  <c r="D68" i="20"/>
  <c r="E74" i="20"/>
  <c r="C61" i="20"/>
  <c r="D67" i="20"/>
  <c r="E73" i="20"/>
  <c r="C60" i="20"/>
  <c r="D66" i="20"/>
  <c r="E72" i="20"/>
  <c r="C59" i="20"/>
  <c r="D65" i="20"/>
  <c r="E71" i="20"/>
  <c r="C58" i="20"/>
  <c r="D64" i="20"/>
  <c r="E70" i="20"/>
  <c r="C57" i="20"/>
  <c r="D63" i="20"/>
  <c r="E69" i="20"/>
  <c r="C56" i="20"/>
  <c r="D62" i="20"/>
  <c r="E68" i="20"/>
  <c r="C55" i="20"/>
  <c r="D61" i="20"/>
  <c r="E67" i="20"/>
  <c r="C54" i="20"/>
  <c r="D60" i="20"/>
  <c r="E66" i="20"/>
  <c r="C53" i="20"/>
  <c r="D59" i="20"/>
  <c r="E65" i="20"/>
  <c r="C52" i="20"/>
  <c r="D58" i="20"/>
  <c r="E64" i="20"/>
  <c r="C51" i="20"/>
  <c r="D57" i="20"/>
  <c r="E63" i="20"/>
  <c r="C50" i="20"/>
  <c r="D56" i="20"/>
  <c r="E62" i="20"/>
  <c r="C49" i="20"/>
  <c r="D55" i="20"/>
  <c r="E61" i="20"/>
  <c r="C48" i="20"/>
  <c r="D54" i="20"/>
  <c r="E60" i="20"/>
  <c r="C47" i="20"/>
  <c r="D53" i="20"/>
  <c r="E59" i="20"/>
  <c r="C46" i="20"/>
  <c r="D52" i="20"/>
  <c r="E58" i="20"/>
  <c r="C45" i="20"/>
  <c r="D51" i="20"/>
  <c r="E57" i="20"/>
  <c r="C44" i="20"/>
  <c r="D50" i="20"/>
  <c r="E56" i="20"/>
  <c r="C43" i="20"/>
  <c r="D49" i="20"/>
  <c r="E55" i="20"/>
  <c r="C42" i="20"/>
  <c r="D48" i="20"/>
  <c r="E54" i="20"/>
  <c r="C41" i="20"/>
  <c r="D47" i="20"/>
  <c r="E53" i="20"/>
  <c r="C40" i="20"/>
  <c r="D46" i="20"/>
  <c r="E52" i="20"/>
  <c r="C39" i="20"/>
  <c r="D45" i="20"/>
  <c r="E51" i="20"/>
  <c r="C38" i="20"/>
  <c r="D44" i="20"/>
  <c r="E50" i="20"/>
  <c r="C37" i="20"/>
  <c r="D43" i="20"/>
  <c r="E49" i="20"/>
  <c r="C36" i="20"/>
  <c r="D42" i="20"/>
  <c r="E48" i="20"/>
  <c r="C35" i="20"/>
  <c r="D41" i="20"/>
  <c r="E47" i="20"/>
  <c r="C34" i="20"/>
  <c r="D40" i="20"/>
  <c r="E46" i="20"/>
  <c r="C33" i="20"/>
  <c r="D39" i="20"/>
  <c r="E45" i="20"/>
  <c r="C32" i="20"/>
  <c r="D38" i="20"/>
  <c r="E44" i="20"/>
  <c r="C31" i="20"/>
  <c r="D37" i="20"/>
  <c r="E43" i="20"/>
  <c r="C30" i="20"/>
  <c r="D36" i="20"/>
  <c r="E42" i="20"/>
  <c r="C29" i="20"/>
  <c r="D35" i="20"/>
  <c r="E41" i="20"/>
  <c r="C28" i="20"/>
  <c r="D34" i="20"/>
  <c r="E40" i="20"/>
  <c r="C27" i="20"/>
  <c r="D33" i="20"/>
  <c r="E39" i="20"/>
  <c r="C26" i="20"/>
  <c r="D32" i="20"/>
  <c r="E38" i="20"/>
  <c r="C25" i="20"/>
  <c r="D31" i="20"/>
  <c r="E37" i="20"/>
  <c r="C24" i="20"/>
  <c r="D30" i="20"/>
  <c r="E36" i="20"/>
  <c r="C23" i="20"/>
  <c r="D29" i="20"/>
  <c r="E35" i="20"/>
  <c r="C22" i="20"/>
  <c r="D28" i="20"/>
  <c r="E34" i="20"/>
  <c r="C21" i="20"/>
  <c r="D27" i="20"/>
  <c r="E33" i="20"/>
  <c r="C20" i="20"/>
  <c r="D26" i="20"/>
  <c r="E32" i="20"/>
  <c r="C19" i="20"/>
  <c r="D25" i="20"/>
  <c r="E31" i="20"/>
  <c r="C18" i="20"/>
  <c r="D24" i="20"/>
  <c r="E30" i="20"/>
  <c r="C17" i="20"/>
  <c r="D23" i="20"/>
  <c r="E29" i="20"/>
  <c r="C16" i="20"/>
  <c r="D22" i="20"/>
  <c r="E28" i="20"/>
  <c r="C15" i="20"/>
  <c r="D21" i="20"/>
  <c r="E27" i="20"/>
  <c r="C14" i="20"/>
  <c r="D20" i="20"/>
  <c r="E26" i="20"/>
  <c r="C13" i="20"/>
  <c r="D19" i="20"/>
  <c r="E25" i="20"/>
  <c r="C12" i="20"/>
  <c r="D18" i="20"/>
  <c r="E24" i="20"/>
  <c r="C11" i="20"/>
  <c r="D17" i="20"/>
  <c r="E23" i="20"/>
  <c r="C10" i="20"/>
  <c r="D16" i="20"/>
  <c r="E22" i="20"/>
  <c r="H28" i="20"/>
  <c r="H29" i="20"/>
  <c r="H30" i="20"/>
  <c r="H31" i="20"/>
  <c r="H32" i="20"/>
  <c r="H33" i="20"/>
  <c r="H34" i="20"/>
  <c r="H35" i="20"/>
  <c r="H36" i="20"/>
  <c r="H37" i="20"/>
  <c r="H38" i="20"/>
  <c r="H39" i="20"/>
  <c r="W22" i="2"/>
  <c r="H22" i="2"/>
  <c r="W23" i="2"/>
  <c r="H23" i="2"/>
  <c r="N1" i="2"/>
  <c r="N3" i="2"/>
  <c r="W11" i="2"/>
  <c r="N2" i="2"/>
  <c r="BB11" i="2"/>
  <c r="N11" i="2"/>
  <c r="V4" i="2"/>
  <c r="BA11" i="2"/>
  <c r="AZ11" i="2"/>
  <c r="AX11" i="2"/>
  <c r="AY11" i="2"/>
  <c r="BC11" i="2"/>
  <c r="BD11" i="2"/>
  <c r="BE11" i="2"/>
  <c r="V5" i="2"/>
  <c r="V6" i="2"/>
  <c r="V7" i="2"/>
  <c r="V8" i="2"/>
  <c r="V9" i="2"/>
  <c r="V10" i="2"/>
  <c r="V11" i="2"/>
  <c r="V12" i="2"/>
  <c r="V13" i="2"/>
  <c r="W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1" i="2"/>
  <c r="W20" i="2"/>
  <c r="W19" i="2"/>
  <c r="W18" i="2"/>
  <c r="W17" i="2"/>
  <c r="W16" i="2"/>
  <c r="W15" i="2"/>
  <c r="W14" i="2"/>
  <c r="W13" i="2"/>
  <c r="W12" i="2"/>
  <c r="W10" i="2"/>
  <c r="W9" i="2"/>
  <c r="W8" i="2"/>
  <c r="BE16" i="2"/>
  <c r="BD16" i="2"/>
  <c r="BB16" i="2"/>
  <c r="N16" i="2"/>
  <c r="BA16" i="2"/>
  <c r="BC16" i="2"/>
  <c r="AY16" i="2"/>
  <c r="AZ16" i="2"/>
  <c r="AX16" i="2"/>
  <c r="BE24" i="2"/>
  <c r="BB24" i="2"/>
  <c r="N24" i="2"/>
  <c r="BD24" i="2"/>
  <c r="BC24" i="2"/>
  <c r="BA24" i="2"/>
  <c r="AY24" i="2"/>
  <c r="AZ24" i="2"/>
  <c r="AX24" i="2"/>
  <c r="BE32" i="2"/>
  <c r="BB32" i="2"/>
  <c r="N32" i="2"/>
  <c r="BD32" i="2"/>
  <c r="BC32" i="2"/>
  <c r="BA32" i="2"/>
  <c r="AZ32" i="2"/>
  <c r="AY32" i="2"/>
  <c r="AX32" i="2"/>
  <c r="BE40" i="2"/>
  <c r="BB40" i="2"/>
  <c r="N40" i="2"/>
  <c r="BD40" i="2"/>
  <c r="BC40" i="2"/>
  <c r="BA40" i="2"/>
  <c r="AX40" i="2"/>
  <c r="AZ40" i="2"/>
  <c r="AY40" i="2"/>
  <c r="BE48" i="2"/>
  <c r="BD48" i="2"/>
  <c r="BC48" i="2"/>
  <c r="BA48" i="2"/>
  <c r="AX48" i="2"/>
  <c r="BB48" i="2"/>
  <c r="N48" i="2"/>
  <c r="AZ48" i="2"/>
  <c r="AY48" i="2"/>
  <c r="BE56" i="2"/>
  <c r="BD56" i="2"/>
  <c r="BC56" i="2"/>
  <c r="BA56" i="2"/>
  <c r="AX56" i="2"/>
  <c r="BB56" i="2"/>
  <c r="N56" i="2"/>
  <c r="AZ56" i="2"/>
  <c r="AY56" i="2"/>
  <c r="BE64" i="2"/>
  <c r="BD64" i="2"/>
  <c r="BC64" i="2"/>
  <c r="BA64" i="2"/>
  <c r="AX64" i="2"/>
  <c r="BB64" i="2"/>
  <c r="N64" i="2"/>
  <c r="AZ64" i="2"/>
  <c r="AY64" i="2"/>
  <c r="BE72" i="2"/>
  <c r="BD72" i="2"/>
  <c r="BC72" i="2"/>
  <c r="BA72" i="2"/>
  <c r="AZ72" i="2"/>
  <c r="AX72" i="2"/>
  <c r="BB72" i="2"/>
  <c r="N72" i="2"/>
  <c r="AY72" i="2"/>
  <c r="AX80" i="2"/>
  <c r="BE80" i="2"/>
  <c r="AZ80" i="2"/>
  <c r="BA80" i="2"/>
  <c r="AY80" i="2"/>
  <c r="BB80" i="2"/>
  <c r="N80" i="2"/>
  <c r="BD80" i="2"/>
  <c r="BC80" i="2"/>
  <c r="AX88" i="2"/>
  <c r="BE88" i="2"/>
  <c r="AZ88" i="2"/>
  <c r="BA88" i="2"/>
  <c r="AY88" i="2"/>
  <c r="BD88" i="2"/>
  <c r="BC88" i="2"/>
  <c r="BB88" i="2"/>
  <c r="N88" i="2"/>
  <c r="AX96" i="2"/>
  <c r="BE96" i="2"/>
  <c r="AZ96" i="2"/>
  <c r="BA96" i="2"/>
  <c r="AY96" i="2"/>
  <c r="BC96" i="2"/>
  <c r="BB96" i="2"/>
  <c r="N96" i="2"/>
  <c r="BD96" i="2"/>
  <c r="AX104" i="2"/>
  <c r="BE104" i="2"/>
  <c r="AZ104" i="2"/>
  <c r="BA104" i="2"/>
  <c r="AY104" i="2"/>
  <c r="BD104" i="2"/>
  <c r="BC104" i="2"/>
  <c r="BB104" i="2"/>
  <c r="N104" i="2"/>
  <c r="AX112" i="2"/>
  <c r="BE112" i="2"/>
  <c r="AZ112" i="2"/>
  <c r="BA112" i="2"/>
  <c r="AY112" i="2"/>
  <c r="BC112" i="2"/>
  <c r="BD112" i="2"/>
  <c r="BB112" i="2"/>
  <c r="N112" i="2"/>
  <c r="AX120" i="2"/>
  <c r="BE120" i="2"/>
  <c r="AZ120" i="2"/>
  <c r="BA120" i="2"/>
  <c r="AY120" i="2"/>
  <c r="BD120" i="2"/>
  <c r="BB120" i="2"/>
  <c r="N120" i="2"/>
  <c r="BC120" i="2"/>
  <c r="AX128" i="2"/>
  <c r="BE128" i="2"/>
  <c r="AZ128" i="2"/>
  <c r="BA128" i="2"/>
  <c r="AY128" i="2"/>
  <c r="BD128" i="2"/>
  <c r="BC128" i="2"/>
  <c r="BB128" i="2"/>
  <c r="N128" i="2"/>
  <c r="AX136" i="2"/>
  <c r="BE136" i="2"/>
  <c r="AZ136" i="2"/>
  <c r="BA136" i="2"/>
  <c r="AY136" i="2"/>
  <c r="BC136" i="2"/>
  <c r="BB136" i="2"/>
  <c r="N136" i="2"/>
  <c r="BD136" i="2"/>
  <c r="AX144" i="2"/>
  <c r="BE144" i="2"/>
  <c r="AZ144" i="2"/>
  <c r="BA144" i="2"/>
  <c r="AY144" i="2"/>
  <c r="BB144" i="2"/>
  <c r="N144" i="2"/>
  <c r="BD144" i="2"/>
  <c r="BC144" i="2"/>
  <c r="AX152" i="2"/>
  <c r="BE152" i="2"/>
  <c r="AZ152" i="2"/>
  <c r="BA152" i="2"/>
  <c r="AY152" i="2"/>
  <c r="BD152" i="2"/>
  <c r="BC152" i="2"/>
  <c r="BB152" i="2"/>
  <c r="N152" i="2"/>
  <c r="BC8" i="2"/>
  <c r="AE8" i="2"/>
  <c r="BA8" i="2"/>
  <c r="BE8" i="2"/>
  <c r="AZ8" i="2"/>
  <c r="AY8" i="2"/>
  <c r="AX8" i="2"/>
  <c r="BD8" i="2"/>
  <c r="BB8" i="2"/>
  <c r="N8" i="2"/>
  <c r="BE17" i="2"/>
  <c r="BD17" i="2"/>
  <c r="BB17" i="2"/>
  <c r="N17" i="2"/>
  <c r="BC17" i="2"/>
  <c r="AY17" i="2"/>
  <c r="BA17" i="2"/>
  <c r="AZ17" i="2"/>
  <c r="BE25" i="2"/>
  <c r="BB25" i="2"/>
  <c r="N25" i="2"/>
  <c r="BD25" i="2"/>
  <c r="AX25" i="2"/>
  <c r="BA25" i="2"/>
  <c r="AZ25" i="2"/>
  <c r="BC25" i="2"/>
  <c r="AY25" i="2"/>
  <c r="BE33" i="2"/>
  <c r="BB33" i="2"/>
  <c r="N33" i="2"/>
  <c r="BD33" i="2"/>
  <c r="AZ33" i="2"/>
  <c r="AX33" i="2"/>
  <c r="BC33" i="2"/>
  <c r="AY33" i="2"/>
  <c r="BA33" i="2"/>
  <c r="BE41" i="2"/>
  <c r="BD41" i="2"/>
  <c r="BB41" i="2"/>
  <c r="N41" i="2"/>
  <c r="BC41" i="2"/>
  <c r="AZ41" i="2"/>
  <c r="AX41" i="2"/>
  <c r="AY41" i="2"/>
  <c r="BA41" i="2"/>
  <c r="BE49" i="2"/>
  <c r="BD49" i="2"/>
  <c r="BC49" i="2"/>
  <c r="BA49" i="2"/>
  <c r="AX49" i="2"/>
  <c r="AY49" i="2"/>
  <c r="BB49" i="2"/>
  <c r="N49" i="2"/>
  <c r="AZ49" i="2"/>
  <c r="BE57" i="2"/>
  <c r="BD57" i="2"/>
  <c r="BC57" i="2"/>
  <c r="BA57" i="2"/>
  <c r="AZ57" i="2"/>
  <c r="AX57" i="2"/>
  <c r="AY57" i="2"/>
  <c r="BB57" i="2"/>
  <c r="N57" i="2"/>
  <c r="BE65" i="2"/>
  <c r="BD65" i="2"/>
  <c r="BC65" i="2"/>
  <c r="BA65" i="2"/>
  <c r="AZ65" i="2"/>
  <c r="BB65" i="2"/>
  <c r="N65" i="2"/>
  <c r="AX65" i="2"/>
  <c r="AY65" i="2"/>
  <c r="BE73" i="2"/>
  <c r="AX73" i="2"/>
  <c r="BD73" i="2"/>
  <c r="BB73" i="2"/>
  <c r="N73" i="2"/>
  <c r="AZ73" i="2"/>
  <c r="AY73" i="2"/>
  <c r="BC73" i="2"/>
  <c r="BA73" i="2"/>
  <c r="AX81" i="2"/>
  <c r="BE81" i="2"/>
  <c r="AZ81" i="2"/>
  <c r="BD81" i="2"/>
  <c r="BC81" i="2"/>
  <c r="BB81" i="2"/>
  <c r="N81" i="2"/>
  <c r="BA81" i="2"/>
  <c r="AY81" i="2"/>
  <c r="AX89" i="2"/>
  <c r="BE89" i="2"/>
  <c r="AZ89" i="2"/>
  <c r="BD89" i="2"/>
  <c r="BC89" i="2"/>
  <c r="BB89" i="2"/>
  <c r="N89" i="2"/>
  <c r="BA89" i="2"/>
  <c r="AY89" i="2"/>
  <c r="AX97" i="2"/>
  <c r="BE97" i="2"/>
  <c r="AZ97" i="2"/>
  <c r="BD97" i="2"/>
  <c r="BC97" i="2"/>
  <c r="BB97" i="2"/>
  <c r="N97" i="2"/>
  <c r="AY97" i="2"/>
  <c r="BA97" i="2"/>
  <c r="AX105" i="2"/>
  <c r="BE105" i="2"/>
  <c r="AZ105" i="2"/>
  <c r="BD105" i="2"/>
  <c r="BC105" i="2"/>
  <c r="BB105" i="2"/>
  <c r="N105" i="2"/>
  <c r="BA105" i="2"/>
  <c r="AY105" i="2"/>
  <c r="AX113" i="2"/>
  <c r="BE113" i="2"/>
  <c r="AZ113" i="2"/>
  <c r="BD113" i="2"/>
  <c r="BC113" i="2"/>
  <c r="BB113" i="2"/>
  <c r="N113" i="2"/>
  <c r="BA113" i="2"/>
  <c r="AY113" i="2"/>
  <c r="AX121" i="2"/>
  <c r="BE121" i="2"/>
  <c r="AZ121" i="2"/>
  <c r="BD121" i="2"/>
  <c r="BC121" i="2"/>
  <c r="BB121" i="2"/>
  <c r="N121" i="2"/>
  <c r="AY121" i="2"/>
  <c r="BA121" i="2"/>
  <c r="AX129" i="2"/>
  <c r="BE129" i="2"/>
  <c r="AZ129" i="2"/>
  <c r="BD129" i="2"/>
  <c r="BC129" i="2"/>
  <c r="BB129" i="2"/>
  <c r="N129" i="2"/>
  <c r="BA129" i="2"/>
  <c r="AY129" i="2"/>
  <c r="AX137" i="2"/>
  <c r="BE137" i="2"/>
  <c r="AZ137" i="2"/>
  <c r="BD137" i="2"/>
  <c r="BC137" i="2"/>
  <c r="BB137" i="2"/>
  <c r="N137" i="2"/>
  <c r="BA137" i="2"/>
  <c r="AY137" i="2"/>
  <c r="AX145" i="2"/>
  <c r="BE145" i="2"/>
  <c r="AZ145" i="2"/>
  <c r="BD145" i="2"/>
  <c r="BC145" i="2"/>
  <c r="BB145" i="2"/>
  <c r="N145" i="2"/>
  <c r="AY145" i="2"/>
  <c r="BA145" i="2"/>
  <c r="AX153" i="2"/>
  <c r="BE153" i="2"/>
  <c r="AZ153" i="2"/>
  <c r="BD153" i="2"/>
  <c r="BC153" i="2"/>
  <c r="BB153" i="2"/>
  <c r="N153" i="2"/>
  <c r="BA153" i="2"/>
  <c r="AY153" i="2"/>
  <c r="BB13" i="2"/>
  <c r="N13" i="2"/>
  <c r="AZ13" i="2"/>
  <c r="AY13" i="2"/>
  <c r="BE13" i="2"/>
  <c r="BD13" i="2"/>
  <c r="BC13" i="2"/>
  <c r="BA13" i="2"/>
  <c r="AI21" i="2"/>
  <c r="BE21" i="2"/>
  <c r="BB21" i="2"/>
  <c r="N21" i="2"/>
  <c r="BD21" i="2"/>
  <c r="BA21" i="2"/>
  <c r="AZ21" i="2"/>
  <c r="AY21" i="2"/>
  <c r="BC21" i="2"/>
  <c r="BE29" i="2"/>
  <c r="BB29" i="2"/>
  <c r="N29" i="2"/>
  <c r="BD29" i="2"/>
  <c r="AY29" i="2"/>
  <c r="BA29" i="2"/>
  <c r="AZ29" i="2"/>
  <c r="AX29" i="2"/>
  <c r="BC29" i="2"/>
  <c r="BE37" i="2"/>
  <c r="BB37" i="2"/>
  <c r="N37" i="2"/>
  <c r="BD37" i="2"/>
  <c r="BA37" i="2"/>
  <c r="AY37" i="2"/>
  <c r="AX37" i="2"/>
  <c r="AZ37" i="2"/>
  <c r="BC37" i="2"/>
  <c r="BE45" i="2"/>
  <c r="BD45" i="2"/>
  <c r="BC45" i="2"/>
  <c r="AZ45" i="2"/>
  <c r="BA45" i="2"/>
  <c r="AX45" i="2"/>
  <c r="BB45" i="2"/>
  <c r="N45" i="2"/>
  <c r="AY45" i="2"/>
  <c r="BE53" i="2"/>
  <c r="BD53" i="2"/>
  <c r="BC53" i="2"/>
  <c r="AZ53" i="2"/>
  <c r="AY53" i="2"/>
  <c r="AX53" i="2"/>
  <c r="BA53" i="2"/>
  <c r="BB53" i="2"/>
  <c r="N53" i="2"/>
  <c r="BE61" i="2"/>
  <c r="BD61" i="2"/>
  <c r="BC61" i="2"/>
  <c r="AZ61" i="2"/>
  <c r="BB61" i="2"/>
  <c r="N61" i="2"/>
  <c r="AY61" i="2"/>
  <c r="BA61" i="2"/>
  <c r="AX61" i="2"/>
  <c r="BE69" i="2"/>
  <c r="BD69" i="2"/>
  <c r="BC69" i="2"/>
  <c r="AZ69" i="2"/>
  <c r="AY69" i="2"/>
  <c r="BA69" i="2"/>
  <c r="AX69" i="2"/>
  <c r="BB69" i="2"/>
  <c r="N69" i="2"/>
  <c r="BE77" i="2"/>
  <c r="BB77" i="2"/>
  <c r="N77" i="2"/>
  <c r="BA77" i="2"/>
  <c r="AZ77" i="2"/>
  <c r="BD77" i="2"/>
  <c r="AY77" i="2"/>
  <c r="AX77" i="2"/>
  <c r="BC77" i="2"/>
  <c r="AX85" i="2"/>
  <c r="BE85" i="2"/>
  <c r="AZ85" i="2"/>
  <c r="AY85" i="2"/>
  <c r="BB85" i="2"/>
  <c r="N85" i="2"/>
  <c r="BA85" i="2"/>
  <c r="BC85" i="2"/>
  <c r="BD85" i="2"/>
  <c r="AX93" i="2"/>
  <c r="BE93" i="2"/>
  <c r="AZ93" i="2"/>
  <c r="AY93" i="2"/>
  <c r="BA93" i="2"/>
  <c r="BD93" i="2"/>
  <c r="BC93" i="2"/>
  <c r="BB93" i="2"/>
  <c r="N93" i="2"/>
  <c r="AX101" i="2"/>
  <c r="BE101" i="2"/>
  <c r="AZ101" i="2"/>
  <c r="AY101" i="2"/>
  <c r="BD101" i="2"/>
  <c r="BC101" i="2"/>
  <c r="BB101" i="2"/>
  <c r="N101" i="2"/>
  <c r="BA101" i="2"/>
  <c r="AX109" i="2"/>
  <c r="BE109" i="2"/>
  <c r="AZ109" i="2"/>
  <c r="AY109" i="2"/>
  <c r="BD109" i="2"/>
  <c r="BB109" i="2"/>
  <c r="N109" i="2"/>
  <c r="BA109" i="2"/>
  <c r="BC109" i="2"/>
  <c r="AX117" i="2"/>
  <c r="BE117" i="2"/>
  <c r="AZ117" i="2"/>
  <c r="AY117" i="2"/>
  <c r="BC117" i="2"/>
  <c r="BB117" i="2"/>
  <c r="N117" i="2"/>
  <c r="BA117" i="2"/>
  <c r="BD117" i="2"/>
  <c r="AX125" i="2"/>
  <c r="BE125" i="2"/>
  <c r="AZ125" i="2"/>
  <c r="AY125" i="2"/>
  <c r="BD125" i="2"/>
  <c r="BB125" i="2"/>
  <c r="N125" i="2"/>
  <c r="BC125" i="2"/>
  <c r="BA125" i="2"/>
  <c r="AX133" i="2"/>
  <c r="BE133" i="2"/>
  <c r="AZ133" i="2"/>
  <c r="AY133" i="2"/>
  <c r="BD133" i="2"/>
  <c r="BC133" i="2"/>
  <c r="BA133" i="2"/>
  <c r="BB133" i="2"/>
  <c r="N133" i="2"/>
  <c r="AX141" i="2"/>
  <c r="BE141" i="2"/>
  <c r="AZ141" i="2"/>
  <c r="AY141" i="2"/>
  <c r="BC141" i="2"/>
  <c r="BB141" i="2"/>
  <c r="N141" i="2"/>
  <c r="BD141" i="2"/>
  <c r="BA141" i="2"/>
  <c r="AX149" i="2"/>
  <c r="BE149" i="2"/>
  <c r="AZ149" i="2"/>
  <c r="AY149" i="2"/>
  <c r="BB149" i="2"/>
  <c r="N149" i="2"/>
  <c r="BA149" i="2"/>
  <c r="BC149" i="2"/>
  <c r="BD149" i="2"/>
  <c r="BB14" i="2"/>
  <c r="N14" i="2"/>
  <c r="BA14" i="2"/>
  <c r="AZ14" i="2"/>
  <c r="AY14" i="2"/>
  <c r="BC14" i="2"/>
  <c r="BD14" i="2"/>
  <c r="AX14" i="2"/>
  <c r="BE14" i="2"/>
  <c r="AI22" i="2"/>
  <c r="BE22" i="2"/>
  <c r="BB22" i="2"/>
  <c r="N22" i="2"/>
  <c r="AY22" i="2"/>
  <c r="AX22" i="2"/>
  <c r="BC22" i="2"/>
  <c r="AZ22" i="2"/>
  <c r="BD22" i="2"/>
  <c r="BA22" i="2"/>
  <c r="BE30" i="2"/>
  <c r="BB30" i="2"/>
  <c r="N30" i="2"/>
  <c r="AY30" i="2"/>
  <c r="AX30" i="2"/>
  <c r="BC30" i="2"/>
  <c r="BD30" i="2"/>
  <c r="AZ30" i="2"/>
  <c r="BA30" i="2"/>
  <c r="BE38" i="2"/>
  <c r="BB38" i="2"/>
  <c r="N38" i="2"/>
  <c r="AY38" i="2"/>
  <c r="AX38" i="2"/>
  <c r="AZ38" i="2"/>
  <c r="BD38" i="2"/>
  <c r="BC38" i="2"/>
  <c r="BA38" i="2"/>
  <c r="BE46" i="2"/>
  <c r="BD46" i="2"/>
  <c r="BC46" i="2"/>
  <c r="AZ46" i="2"/>
  <c r="BB46" i="2"/>
  <c r="N46" i="2"/>
  <c r="AY46" i="2"/>
  <c r="BA46" i="2"/>
  <c r="AX46" i="2"/>
  <c r="BE54" i="2"/>
  <c r="BD54" i="2"/>
  <c r="BC54" i="2"/>
  <c r="AZ54" i="2"/>
  <c r="BB54" i="2"/>
  <c r="N54" i="2"/>
  <c r="BA54" i="2"/>
  <c r="AY54" i="2"/>
  <c r="AX54" i="2"/>
  <c r="BE62" i="2"/>
  <c r="BD62" i="2"/>
  <c r="BC62" i="2"/>
  <c r="AZ62" i="2"/>
  <c r="BA62" i="2"/>
  <c r="AX62" i="2"/>
  <c r="BB62" i="2"/>
  <c r="N62" i="2"/>
  <c r="AY62" i="2"/>
  <c r="BE70" i="2"/>
  <c r="BD70" i="2"/>
  <c r="BC70" i="2"/>
  <c r="BB70" i="2"/>
  <c r="N70" i="2"/>
  <c r="AZ70" i="2"/>
  <c r="BA70" i="2"/>
  <c r="AX70" i="2"/>
  <c r="AY70" i="2"/>
  <c r="AX78" i="2"/>
  <c r="BE78" i="2"/>
  <c r="BD78" i="2"/>
  <c r="BC78" i="2"/>
  <c r="BB78" i="2"/>
  <c r="N78" i="2"/>
  <c r="AY78" i="2"/>
  <c r="BA78" i="2"/>
  <c r="AZ78" i="2"/>
  <c r="AX86" i="2"/>
  <c r="BE86" i="2"/>
  <c r="AZ86" i="2"/>
  <c r="BC86" i="2"/>
  <c r="BB86" i="2"/>
  <c r="N86" i="2"/>
  <c r="BA86" i="2"/>
  <c r="BD86" i="2"/>
  <c r="AY86" i="2"/>
  <c r="AX94" i="2"/>
  <c r="BE94" i="2"/>
  <c r="AZ94" i="2"/>
  <c r="BC94" i="2"/>
  <c r="BB94" i="2"/>
  <c r="N94" i="2"/>
  <c r="BA94" i="2"/>
  <c r="BD94" i="2"/>
  <c r="AY94" i="2"/>
  <c r="AX102" i="2"/>
  <c r="BE102" i="2"/>
  <c r="AZ102" i="2"/>
  <c r="BC102" i="2"/>
  <c r="BB102" i="2"/>
  <c r="N102" i="2"/>
  <c r="BA102" i="2"/>
  <c r="AY102" i="2"/>
  <c r="BD102" i="2"/>
  <c r="AX110" i="2"/>
  <c r="BE110" i="2"/>
  <c r="AZ110" i="2"/>
  <c r="BC110" i="2"/>
  <c r="BB110" i="2"/>
  <c r="N110" i="2"/>
  <c r="BA110" i="2"/>
  <c r="BD110" i="2"/>
  <c r="AY110" i="2"/>
  <c r="AX118" i="2"/>
  <c r="BE118" i="2"/>
  <c r="AZ118" i="2"/>
  <c r="BC118" i="2"/>
  <c r="BB118" i="2"/>
  <c r="N118" i="2"/>
  <c r="BA118" i="2"/>
  <c r="BD118" i="2"/>
  <c r="AY118" i="2"/>
  <c r="AX126" i="2"/>
  <c r="BE126" i="2"/>
  <c r="AZ126" i="2"/>
  <c r="BC126" i="2"/>
  <c r="BB126" i="2"/>
  <c r="N126" i="2"/>
  <c r="BA126" i="2"/>
  <c r="AY126" i="2"/>
  <c r="BD126" i="2"/>
  <c r="AX134" i="2"/>
  <c r="BE134" i="2"/>
  <c r="AZ134" i="2"/>
  <c r="BC134" i="2"/>
  <c r="BB134" i="2"/>
  <c r="N134" i="2"/>
  <c r="BA134" i="2"/>
  <c r="BD134" i="2"/>
  <c r="AY134" i="2"/>
  <c r="AX142" i="2"/>
  <c r="BE142" i="2"/>
  <c r="AZ142" i="2"/>
  <c r="BC142" i="2"/>
  <c r="BB142" i="2"/>
  <c r="N142" i="2"/>
  <c r="BA142" i="2"/>
  <c r="AY142" i="2"/>
  <c r="BD142" i="2"/>
  <c r="AX150" i="2"/>
  <c r="BE150" i="2"/>
  <c r="AZ150" i="2"/>
  <c r="BC150" i="2"/>
  <c r="BB150" i="2"/>
  <c r="N150" i="2"/>
  <c r="BA150" i="2"/>
  <c r="AY150" i="2"/>
  <c r="BD150" i="2"/>
  <c r="AF7" i="2"/>
  <c r="AE7" i="2"/>
  <c r="AZ7" i="2"/>
  <c r="BA7" i="2"/>
  <c r="AY7" i="2"/>
  <c r="BC7" i="2"/>
  <c r="BB15" i="2"/>
  <c r="N15" i="2"/>
  <c r="BC15" i="2"/>
  <c r="BA15" i="2"/>
  <c r="AZ15" i="2"/>
  <c r="BE15" i="2"/>
  <c r="BD15" i="2"/>
  <c r="AY15" i="2"/>
  <c r="AX15" i="2"/>
  <c r="AI23" i="2"/>
  <c r="BE23" i="2"/>
  <c r="BB23" i="2"/>
  <c r="N23" i="2"/>
  <c r="BA23" i="2"/>
  <c r="AZ23" i="2"/>
  <c r="AY23" i="2"/>
  <c r="BD23" i="2"/>
  <c r="BC23" i="2"/>
  <c r="AX23" i="2"/>
  <c r="BE31" i="2"/>
  <c r="BB31" i="2"/>
  <c r="N31" i="2"/>
  <c r="BA31" i="2"/>
  <c r="AZ31" i="2"/>
  <c r="AY31" i="2"/>
  <c r="AX31" i="2"/>
  <c r="BC31" i="2"/>
  <c r="BD31" i="2"/>
  <c r="BE39" i="2"/>
  <c r="BB39" i="2"/>
  <c r="N39" i="2"/>
  <c r="BA39" i="2"/>
  <c r="AY39" i="2"/>
  <c r="AZ39" i="2"/>
  <c r="BD39" i="2"/>
  <c r="AX39" i="2"/>
  <c r="BC39" i="2"/>
  <c r="BE47" i="2"/>
  <c r="BD47" i="2"/>
  <c r="BC47" i="2"/>
  <c r="AX47" i="2"/>
  <c r="BB47" i="2"/>
  <c r="N47" i="2"/>
  <c r="BA47" i="2"/>
  <c r="AZ47" i="2"/>
  <c r="AY47" i="2"/>
  <c r="BE55" i="2"/>
  <c r="BD55" i="2"/>
  <c r="BC55" i="2"/>
  <c r="AX55" i="2"/>
  <c r="AZ55" i="2"/>
  <c r="AY55" i="2"/>
  <c r="BB55" i="2"/>
  <c r="N55" i="2"/>
  <c r="BA55" i="2"/>
  <c r="BE63" i="2"/>
  <c r="BD63" i="2"/>
  <c r="BC63" i="2"/>
  <c r="AX63" i="2"/>
  <c r="BB63" i="2"/>
  <c r="N63" i="2"/>
  <c r="BA63" i="2"/>
  <c r="AZ63" i="2"/>
  <c r="AY63" i="2"/>
  <c r="BE71" i="2"/>
  <c r="BD71" i="2"/>
  <c r="BC71" i="2"/>
  <c r="AX71" i="2"/>
  <c r="BB71" i="2"/>
  <c r="N71" i="2"/>
  <c r="AY71" i="2"/>
  <c r="BA71" i="2"/>
  <c r="AZ71" i="2"/>
  <c r="AX79" i="2"/>
  <c r="BE79" i="2"/>
  <c r="BD79" i="2"/>
  <c r="BC79" i="2"/>
  <c r="BA79" i="2"/>
  <c r="AZ79" i="2"/>
  <c r="AY79" i="2"/>
  <c r="BB79" i="2"/>
  <c r="N79" i="2"/>
  <c r="AX87" i="2"/>
  <c r="BE87" i="2"/>
  <c r="AZ87" i="2"/>
  <c r="BD87" i="2"/>
  <c r="BC87" i="2"/>
  <c r="BB87" i="2"/>
  <c r="N87" i="2"/>
  <c r="AY87" i="2"/>
  <c r="BA87" i="2"/>
  <c r="AX95" i="2"/>
  <c r="BE95" i="2"/>
  <c r="AZ95" i="2"/>
  <c r="BD95" i="2"/>
  <c r="BB95" i="2"/>
  <c r="N95" i="2"/>
  <c r="BA95" i="2"/>
  <c r="BC95" i="2"/>
  <c r="AY95" i="2"/>
  <c r="AX103" i="2"/>
  <c r="BE103" i="2"/>
  <c r="AZ103" i="2"/>
  <c r="BD103" i="2"/>
  <c r="BA103" i="2"/>
  <c r="AY103" i="2"/>
  <c r="BC103" i="2"/>
  <c r="BB103" i="2"/>
  <c r="N103" i="2"/>
  <c r="AX111" i="2"/>
  <c r="BE111" i="2"/>
  <c r="AZ111" i="2"/>
  <c r="BD111" i="2"/>
  <c r="AY111" i="2"/>
  <c r="BC111" i="2"/>
  <c r="BB111" i="2"/>
  <c r="N111" i="2"/>
  <c r="BA111" i="2"/>
  <c r="AX119" i="2"/>
  <c r="BE119" i="2"/>
  <c r="AZ119" i="2"/>
  <c r="BD119" i="2"/>
  <c r="BC119" i="2"/>
  <c r="BB119" i="2"/>
  <c r="N119" i="2"/>
  <c r="BA119" i="2"/>
  <c r="AY119" i="2"/>
  <c r="AX127" i="2"/>
  <c r="BE127" i="2"/>
  <c r="AZ127" i="2"/>
  <c r="BD127" i="2"/>
  <c r="BC127" i="2"/>
  <c r="BB127" i="2"/>
  <c r="N127" i="2"/>
  <c r="BA127" i="2"/>
  <c r="AY127" i="2"/>
  <c r="AX135" i="2"/>
  <c r="BE135" i="2"/>
  <c r="AZ135" i="2"/>
  <c r="BD135" i="2"/>
  <c r="BB135" i="2"/>
  <c r="N135" i="2"/>
  <c r="BC135" i="2"/>
  <c r="BA135" i="2"/>
  <c r="AY135" i="2"/>
  <c r="AX143" i="2"/>
  <c r="BE143" i="2"/>
  <c r="AZ143" i="2"/>
  <c r="BD143" i="2"/>
  <c r="BC143" i="2"/>
  <c r="BA143" i="2"/>
  <c r="BB143" i="2"/>
  <c r="N143" i="2"/>
  <c r="AY143" i="2"/>
  <c r="AX151" i="2"/>
  <c r="BE151" i="2"/>
  <c r="AZ151" i="2"/>
  <c r="BD151" i="2"/>
  <c r="BC151" i="2"/>
  <c r="BB151" i="2"/>
  <c r="N151" i="2"/>
  <c r="AY151" i="2"/>
  <c r="BA151" i="2"/>
  <c r="BD9" i="2"/>
  <c r="BC9" i="2"/>
  <c r="BA9" i="2"/>
  <c r="AY9" i="2"/>
  <c r="AZ9" i="2"/>
  <c r="BE9" i="2"/>
  <c r="BE18" i="2"/>
  <c r="BB18" i="2"/>
  <c r="N18" i="2"/>
  <c r="AY18" i="2"/>
  <c r="AX18" i="2"/>
  <c r="BA18" i="2"/>
  <c r="AZ18" i="2"/>
  <c r="BD18" i="2"/>
  <c r="BC18" i="2"/>
  <c r="BE26" i="2"/>
  <c r="BB26" i="2"/>
  <c r="N26" i="2"/>
  <c r="AY26" i="2"/>
  <c r="AX26" i="2"/>
  <c r="BD26" i="2"/>
  <c r="BA26" i="2"/>
  <c r="BC26" i="2"/>
  <c r="AZ26" i="2"/>
  <c r="BE34" i="2"/>
  <c r="BB34" i="2"/>
  <c r="N34" i="2"/>
  <c r="AY34" i="2"/>
  <c r="AX34" i="2"/>
  <c r="BD34" i="2"/>
  <c r="AZ34" i="2"/>
  <c r="BC34" i="2"/>
  <c r="BA34" i="2"/>
  <c r="BE42" i="2"/>
  <c r="BD42" i="2"/>
  <c r="BC42" i="2"/>
  <c r="AY42" i="2"/>
  <c r="BA42" i="2"/>
  <c r="AX42" i="2"/>
  <c r="AZ42" i="2"/>
  <c r="BB42" i="2"/>
  <c r="N42" i="2"/>
  <c r="BE50" i="2"/>
  <c r="BD50" i="2"/>
  <c r="BC50" i="2"/>
  <c r="AY50" i="2"/>
  <c r="BA50" i="2"/>
  <c r="BB50" i="2"/>
  <c r="N50" i="2"/>
  <c r="AZ50" i="2"/>
  <c r="AX50" i="2"/>
  <c r="BE58" i="2"/>
  <c r="BD58" i="2"/>
  <c r="BC58" i="2"/>
  <c r="AY58" i="2"/>
  <c r="BB58" i="2"/>
  <c r="N58" i="2"/>
  <c r="AZ58" i="2"/>
  <c r="AX58" i="2"/>
  <c r="BA58" i="2"/>
  <c r="BE66" i="2"/>
  <c r="BD66" i="2"/>
  <c r="BC66" i="2"/>
  <c r="AY66" i="2"/>
  <c r="AX66" i="2"/>
  <c r="AZ66" i="2"/>
  <c r="BB66" i="2"/>
  <c r="N66" i="2"/>
  <c r="BA66" i="2"/>
  <c r="BE74" i="2"/>
  <c r="AY74" i="2"/>
  <c r="AX74" i="2"/>
  <c r="BA74" i="2"/>
  <c r="AZ74" i="2"/>
  <c r="BD74" i="2"/>
  <c r="BC74" i="2"/>
  <c r="BB74" i="2"/>
  <c r="N74" i="2"/>
  <c r="AX82" i="2"/>
  <c r="BE82" i="2"/>
  <c r="AZ82" i="2"/>
  <c r="BC82" i="2"/>
  <c r="BB82" i="2"/>
  <c r="N82" i="2"/>
  <c r="AY82" i="2"/>
  <c r="BA82" i="2"/>
  <c r="BD82" i="2"/>
  <c r="AX90" i="2"/>
  <c r="BE90" i="2"/>
  <c r="AZ90" i="2"/>
  <c r="BB90" i="2"/>
  <c r="N90" i="2"/>
  <c r="BA90" i="2"/>
  <c r="BC90" i="2"/>
  <c r="BD90" i="2"/>
  <c r="AY90" i="2"/>
  <c r="AX98" i="2"/>
  <c r="BE98" i="2"/>
  <c r="AZ98" i="2"/>
  <c r="BA98" i="2"/>
  <c r="AY98" i="2"/>
  <c r="BD98" i="2"/>
  <c r="BC98" i="2"/>
  <c r="BB98" i="2"/>
  <c r="N98" i="2"/>
  <c r="AX106" i="2"/>
  <c r="BE106" i="2"/>
  <c r="AZ106" i="2"/>
  <c r="AY106" i="2"/>
  <c r="BC106" i="2"/>
  <c r="BD106" i="2"/>
  <c r="BA106" i="2"/>
  <c r="BB106" i="2"/>
  <c r="N106" i="2"/>
  <c r="AX114" i="2"/>
  <c r="BE114" i="2"/>
  <c r="AZ114" i="2"/>
  <c r="BD114" i="2"/>
  <c r="BC114" i="2"/>
  <c r="BB114" i="2"/>
  <c r="N114" i="2"/>
  <c r="BA114" i="2"/>
  <c r="AY114" i="2"/>
  <c r="AX122" i="2"/>
  <c r="BE122" i="2"/>
  <c r="AZ122" i="2"/>
  <c r="BC122" i="2"/>
  <c r="BD122" i="2"/>
  <c r="BA122" i="2"/>
  <c r="AY122" i="2"/>
  <c r="BB122" i="2"/>
  <c r="N122" i="2"/>
  <c r="AX130" i="2"/>
  <c r="BE130" i="2"/>
  <c r="AZ130" i="2"/>
  <c r="BD130" i="2"/>
  <c r="BB130" i="2"/>
  <c r="N130" i="2"/>
  <c r="BA130" i="2"/>
  <c r="BC130" i="2"/>
  <c r="AY130" i="2"/>
  <c r="AX138" i="2"/>
  <c r="BE138" i="2"/>
  <c r="AZ138" i="2"/>
  <c r="BD138" i="2"/>
  <c r="BC138" i="2"/>
  <c r="BA138" i="2"/>
  <c r="AY138" i="2"/>
  <c r="BB138" i="2"/>
  <c r="N138" i="2"/>
  <c r="AX146" i="2"/>
  <c r="BE146" i="2"/>
  <c r="AZ146" i="2"/>
  <c r="BC146" i="2"/>
  <c r="BB146" i="2"/>
  <c r="N146" i="2"/>
  <c r="AY146" i="2"/>
  <c r="BD146" i="2"/>
  <c r="BA146" i="2"/>
  <c r="AX154" i="2"/>
  <c r="BE154" i="2"/>
  <c r="AZ154" i="2"/>
  <c r="BB154" i="2"/>
  <c r="N154" i="2"/>
  <c r="BA154" i="2"/>
  <c r="BD154" i="2"/>
  <c r="BC154" i="2"/>
  <c r="AY154" i="2"/>
  <c r="BA10" i="2"/>
  <c r="BE10" i="2"/>
  <c r="BD10" i="2"/>
  <c r="BC10" i="2"/>
  <c r="AY10" i="2"/>
  <c r="AZ10" i="2"/>
  <c r="AX10" i="2"/>
  <c r="AK19" i="2"/>
  <c r="BE19" i="2"/>
  <c r="BB19" i="2"/>
  <c r="N19" i="2"/>
  <c r="BA19" i="2"/>
  <c r="AZ19" i="2"/>
  <c r="AX19" i="2"/>
  <c r="AY19" i="2"/>
  <c r="BD19" i="2"/>
  <c r="BC19" i="2"/>
  <c r="BE27" i="2"/>
  <c r="BB27" i="2"/>
  <c r="N27" i="2"/>
  <c r="BA27" i="2"/>
  <c r="AY27" i="2"/>
  <c r="AZ27" i="2"/>
  <c r="AX27" i="2"/>
  <c r="BD27" i="2"/>
  <c r="BC27" i="2"/>
  <c r="BE35" i="2"/>
  <c r="BB35" i="2"/>
  <c r="N35" i="2"/>
  <c r="BA35" i="2"/>
  <c r="AZ35" i="2"/>
  <c r="AY35" i="2"/>
  <c r="BC35" i="2"/>
  <c r="BD35" i="2"/>
  <c r="AX35" i="2"/>
  <c r="BE43" i="2"/>
  <c r="BD43" i="2"/>
  <c r="BC43" i="2"/>
  <c r="BB43" i="2"/>
  <c r="N43" i="2"/>
  <c r="AY43" i="2"/>
  <c r="AZ43" i="2"/>
  <c r="AX43" i="2"/>
  <c r="BA43" i="2"/>
  <c r="BE51" i="2"/>
  <c r="BD51" i="2"/>
  <c r="BC51" i="2"/>
  <c r="BB51" i="2"/>
  <c r="N51" i="2"/>
  <c r="AY51" i="2"/>
  <c r="AX51" i="2"/>
  <c r="BA51" i="2"/>
  <c r="AZ51" i="2"/>
  <c r="BE59" i="2"/>
  <c r="BD59" i="2"/>
  <c r="BC59" i="2"/>
  <c r="BB59" i="2"/>
  <c r="N59" i="2"/>
  <c r="AY59" i="2"/>
  <c r="BA59" i="2"/>
  <c r="AZ59" i="2"/>
  <c r="AX59" i="2"/>
  <c r="BE67" i="2"/>
  <c r="BD67" i="2"/>
  <c r="BC67" i="2"/>
  <c r="BB67" i="2"/>
  <c r="N67" i="2"/>
  <c r="AY67" i="2"/>
  <c r="BA67" i="2"/>
  <c r="AZ67" i="2"/>
  <c r="AX67" i="2"/>
  <c r="BE75" i="2"/>
  <c r="AZ75" i="2"/>
  <c r="AY75" i="2"/>
  <c r="AX75" i="2"/>
  <c r="BD75" i="2"/>
  <c r="BB75" i="2"/>
  <c r="N75" i="2"/>
  <c r="BA75" i="2"/>
  <c r="BC75" i="2"/>
  <c r="AX83" i="2"/>
  <c r="BE83" i="2"/>
  <c r="AZ83" i="2"/>
  <c r="BB83" i="2"/>
  <c r="N83" i="2"/>
  <c r="BA83" i="2"/>
  <c r="AY83" i="2"/>
  <c r="BC83" i="2"/>
  <c r="BD83" i="2"/>
  <c r="AX91" i="2"/>
  <c r="BE91" i="2"/>
  <c r="AZ91" i="2"/>
  <c r="BB91" i="2"/>
  <c r="N91" i="2"/>
  <c r="BA91" i="2"/>
  <c r="AY91" i="2"/>
  <c r="BC91" i="2"/>
  <c r="BD91" i="2"/>
  <c r="AX99" i="2"/>
  <c r="BE99" i="2"/>
  <c r="AZ99" i="2"/>
  <c r="BB99" i="2"/>
  <c r="N99" i="2"/>
  <c r="BA99" i="2"/>
  <c r="AY99" i="2"/>
  <c r="BD99" i="2"/>
  <c r="BC99" i="2"/>
  <c r="AX107" i="2"/>
  <c r="BE107" i="2"/>
  <c r="AZ107" i="2"/>
  <c r="BB107" i="2"/>
  <c r="N107" i="2"/>
  <c r="BA107" i="2"/>
  <c r="AY107" i="2"/>
  <c r="BC107" i="2"/>
  <c r="BD107" i="2"/>
  <c r="AX115" i="2"/>
  <c r="BE115" i="2"/>
  <c r="AZ115" i="2"/>
  <c r="BB115" i="2"/>
  <c r="N115" i="2"/>
  <c r="BA115" i="2"/>
  <c r="AY115" i="2"/>
  <c r="BD115" i="2"/>
  <c r="BC115" i="2"/>
  <c r="AX123" i="2"/>
  <c r="BE123" i="2"/>
  <c r="AZ123" i="2"/>
  <c r="BB123" i="2"/>
  <c r="N123" i="2"/>
  <c r="BA123" i="2"/>
  <c r="AY123" i="2"/>
  <c r="BD123" i="2"/>
  <c r="BC123" i="2"/>
  <c r="AX131" i="2"/>
  <c r="BE131" i="2"/>
  <c r="AZ131" i="2"/>
  <c r="BB131" i="2"/>
  <c r="N131" i="2"/>
  <c r="BA131" i="2"/>
  <c r="AY131" i="2"/>
  <c r="BC131" i="2"/>
  <c r="BD131" i="2"/>
  <c r="AX139" i="2"/>
  <c r="BE139" i="2"/>
  <c r="AZ139" i="2"/>
  <c r="BB139" i="2"/>
  <c r="N139" i="2"/>
  <c r="BA139" i="2"/>
  <c r="AY139" i="2"/>
  <c r="BD139" i="2"/>
  <c r="BC139" i="2"/>
  <c r="AX147" i="2"/>
  <c r="BE147" i="2"/>
  <c r="AZ147" i="2"/>
  <c r="BB147" i="2"/>
  <c r="N147" i="2"/>
  <c r="BA147" i="2"/>
  <c r="AY147" i="2"/>
  <c r="BD147" i="2"/>
  <c r="BC147" i="2"/>
  <c r="AX155" i="2"/>
  <c r="BE155" i="2"/>
  <c r="AZ155" i="2"/>
  <c r="BB155" i="2"/>
  <c r="N155" i="2"/>
  <c r="BA155" i="2"/>
  <c r="AY155" i="2"/>
  <c r="BD155" i="2"/>
  <c r="BC155" i="2"/>
  <c r="AY12" i="2"/>
  <c r="BC12" i="2"/>
  <c r="AZ12" i="2"/>
  <c r="AX12" i="2"/>
  <c r="BE12" i="2"/>
  <c r="BD12" i="2"/>
  <c r="BB12" i="2"/>
  <c r="N12" i="2"/>
  <c r="BA12" i="2"/>
  <c r="AI20" i="2"/>
  <c r="BE20" i="2"/>
  <c r="BB20" i="2"/>
  <c r="N20" i="2"/>
  <c r="BD20" i="2"/>
  <c r="BC20" i="2"/>
  <c r="BA20" i="2"/>
  <c r="AZ20" i="2"/>
  <c r="AX20" i="2"/>
  <c r="AY20" i="2"/>
  <c r="BE28" i="2"/>
  <c r="BB28" i="2"/>
  <c r="N28" i="2"/>
  <c r="BD28" i="2"/>
  <c r="BC28" i="2"/>
  <c r="BA28" i="2"/>
  <c r="AZ28" i="2"/>
  <c r="AY28" i="2"/>
  <c r="AX28" i="2"/>
  <c r="BE36" i="2"/>
  <c r="BB36" i="2"/>
  <c r="N36" i="2"/>
  <c r="BD36" i="2"/>
  <c r="BA36" i="2"/>
  <c r="BC36" i="2"/>
  <c r="AZ36" i="2"/>
  <c r="AY36" i="2"/>
  <c r="AX36" i="2"/>
  <c r="BE44" i="2"/>
  <c r="BD44" i="2"/>
  <c r="BC44" i="2"/>
  <c r="BB44" i="2"/>
  <c r="N44" i="2"/>
  <c r="BA44" i="2"/>
  <c r="AZ44" i="2"/>
  <c r="AY44" i="2"/>
  <c r="AX44" i="2"/>
  <c r="BE52" i="2"/>
  <c r="BD52" i="2"/>
  <c r="BC52" i="2"/>
  <c r="BB52" i="2"/>
  <c r="N52" i="2"/>
  <c r="BA52" i="2"/>
  <c r="AY52" i="2"/>
  <c r="AZ52" i="2"/>
  <c r="AX52" i="2"/>
  <c r="BE60" i="2"/>
  <c r="BD60" i="2"/>
  <c r="BC60" i="2"/>
  <c r="BB60" i="2"/>
  <c r="N60" i="2"/>
  <c r="AY60" i="2"/>
  <c r="AX60" i="2"/>
  <c r="BA60" i="2"/>
  <c r="AZ60" i="2"/>
  <c r="BE68" i="2"/>
  <c r="BD68" i="2"/>
  <c r="BC68" i="2"/>
  <c r="BB68" i="2"/>
  <c r="N68" i="2"/>
  <c r="AY68" i="2"/>
  <c r="AX68" i="2"/>
  <c r="BA68" i="2"/>
  <c r="AZ68" i="2"/>
  <c r="BE76" i="2"/>
  <c r="BA76" i="2"/>
  <c r="AZ76" i="2"/>
  <c r="AY76" i="2"/>
  <c r="AX76" i="2"/>
  <c r="BB76" i="2"/>
  <c r="N76" i="2"/>
  <c r="BD76" i="2"/>
  <c r="BC76" i="2"/>
  <c r="AX84" i="2"/>
  <c r="BE84" i="2"/>
  <c r="AZ84" i="2"/>
  <c r="BD84" i="2"/>
  <c r="BC84" i="2"/>
  <c r="BA84" i="2"/>
  <c r="BB84" i="2"/>
  <c r="N84" i="2"/>
  <c r="AY84" i="2"/>
  <c r="AX92" i="2"/>
  <c r="BE92" i="2"/>
  <c r="AZ92" i="2"/>
  <c r="BD92" i="2"/>
  <c r="BC92" i="2"/>
  <c r="BB92" i="2"/>
  <c r="N92" i="2"/>
  <c r="AY92" i="2"/>
  <c r="BA92" i="2"/>
  <c r="AX100" i="2"/>
  <c r="BE100" i="2"/>
  <c r="AZ100" i="2"/>
  <c r="BD100" i="2"/>
  <c r="BC100" i="2"/>
  <c r="BB100" i="2"/>
  <c r="N100" i="2"/>
  <c r="BA100" i="2"/>
  <c r="AY100" i="2"/>
  <c r="AX108" i="2"/>
  <c r="BE108" i="2"/>
  <c r="AZ108" i="2"/>
  <c r="BD108" i="2"/>
  <c r="BC108" i="2"/>
  <c r="BA108" i="2"/>
  <c r="AY108" i="2"/>
  <c r="BB108" i="2"/>
  <c r="N108" i="2"/>
  <c r="AX116" i="2"/>
  <c r="BE116" i="2"/>
  <c r="AZ116" i="2"/>
  <c r="BD116" i="2"/>
  <c r="BC116" i="2"/>
  <c r="AY116" i="2"/>
  <c r="BA116" i="2"/>
  <c r="BB116" i="2"/>
  <c r="N116" i="2"/>
  <c r="AX124" i="2"/>
  <c r="BE124" i="2"/>
  <c r="AZ124" i="2"/>
  <c r="BD124" i="2"/>
  <c r="BC124" i="2"/>
  <c r="BA124" i="2"/>
  <c r="AY124" i="2"/>
  <c r="BB124" i="2"/>
  <c r="N124" i="2"/>
  <c r="AX132" i="2"/>
  <c r="BE132" i="2"/>
  <c r="AZ132" i="2"/>
  <c r="BD132" i="2"/>
  <c r="BC132" i="2"/>
  <c r="BA132" i="2"/>
  <c r="AY132" i="2"/>
  <c r="BB132" i="2"/>
  <c r="N132" i="2"/>
  <c r="AX140" i="2"/>
  <c r="BE140" i="2"/>
  <c r="AZ140" i="2"/>
  <c r="BD140" i="2"/>
  <c r="BC140" i="2"/>
  <c r="BB140" i="2"/>
  <c r="N140" i="2"/>
  <c r="BA140" i="2"/>
  <c r="AY140" i="2"/>
  <c r="AX148" i="2"/>
  <c r="BE148" i="2"/>
  <c r="AZ148" i="2"/>
  <c r="BD148" i="2"/>
  <c r="BC148" i="2"/>
  <c r="BA148" i="2"/>
  <c r="BB148" i="2"/>
  <c r="N148" i="2"/>
  <c r="AY148" i="2"/>
  <c r="AX156" i="2"/>
  <c r="BE156" i="2"/>
  <c r="AZ156" i="2"/>
  <c r="BD156" i="2"/>
  <c r="BC156" i="2"/>
  <c r="BB156" i="2"/>
  <c r="N156" i="2"/>
  <c r="AY156" i="2"/>
  <c r="BA156" i="2"/>
  <c r="AK13" i="2"/>
  <c r="AK14" i="2"/>
  <c r="AK18" i="2"/>
  <c r="AO7" i="2"/>
  <c r="AP7" i="2"/>
  <c r="G7" i="2"/>
  <c r="BE7" i="2"/>
  <c r="BD7" i="2"/>
  <c r="AK16" i="2"/>
  <c r="AK15" i="2"/>
  <c r="AK11" i="2"/>
  <c r="AI8" i="2"/>
  <c r="AK10" i="2"/>
  <c r="AH17" i="2"/>
  <c r="AK17" i="2"/>
  <c r="AL25" i="2"/>
  <c r="AI25" i="2"/>
  <c r="AL27" i="2"/>
  <c r="AI27" i="2"/>
  <c r="AL29" i="2"/>
  <c r="AI29" i="2"/>
  <c r="AL31" i="2"/>
  <c r="AI31" i="2"/>
  <c r="AL33" i="2"/>
  <c r="AK33" i="2"/>
  <c r="AI33" i="2"/>
  <c r="AL35" i="2"/>
  <c r="AK35" i="2"/>
  <c r="AI35" i="2"/>
  <c r="AL37" i="2"/>
  <c r="AK37" i="2"/>
  <c r="AI37" i="2"/>
  <c r="AL39" i="2"/>
  <c r="AK39" i="2"/>
  <c r="AI39" i="2"/>
  <c r="AL41" i="2"/>
  <c r="AK41" i="2"/>
  <c r="AI41" i="2"/>
  <c r="AL43" i="2"/>
  <c r="AK43" i="2"/>
  <c r="AI43" i="2"/>
  <c r="AL45" i="2"/>
  <c r="AK45" i="2"/>
  <c r="AI45" i="2"/>
  <c r="AL47" i="2"/>
  <c r="AK47" i="2"/>
  <c r="AI47" i="2"/>
  <c r="AL49" i="2"/>
  <c r="AK49" i="2"/>
  <c r="AI49" i="2"/>
  <c r="AL51" i="2"/>
  <c r="AK51" i="2"/>
  <c r="AI51" i="2"/>
  <c r="AL53" i="2"/>
  <c r="AK53" i="2"/>
  <c r="AI53" i="2"/>
  <c r="AL55" i="2"/>
  <c r="AK55" i="2"/>
  <c r="AI55" i="2"/>
  <c r="AL57" i="2"/>
  <c r="AK57" i="2"/>
  <c r="AI57" i="2"/>
  <c r="AL59" i="2"/>
  <c r="AK59" i="2"/>
  <c r="AI59" i="2"/>
  <c r="AL61" i="2"/>
  <c r="AK61" i="2"/>
  <c r="AI61" i="2"/>
  <c r="AL63" i="2"/>
  <c r="AK63" i="2"/>
  <c r="AI63" i="2"/>
  <c r="AL65" i="2"/>
  <c r="AK65" i="2"/>
  <c r="AI65" i="2"/>
  <c r="AL67" i="2"/>
  <c r="AK67" i="2"/>
  <c r="AI67" i="2"/>
  <c r="AL69" i="2"/>
  <c r="AK69" i="2"/>
  <c r="AI69" i="2"/>
  <c r="AL71" i="2"/>
  <c r="AK71" i="2"/>
  <c r="AI71" i="2"/>
  <c r="AL73" i="2"/>
  <c r="AK73" i="2"/>
  <c r="AI73" i="2"/>
  <c r="AL75" i="2"/>
  <c r="AK75" i="2"/>
  <c r="AI75" i="2"/>
  <c r="AL77" i="2"/>
  <c r="AK77" i="2"/>
  <c r="AI77" i="2"/>
  <c r="AL79" i="2"/>
  <c r="AK79" i="2"/>
  <c r="AI79" i="2"/>
  <c r="AL81" i="2"/>
  <c r="AK81" i="2"/>
  <c r="AI81" i="2"/>
  <c r="AL83" i="2"/>
  <c r="AK83" i="2"/>
  <c r="AI83" i="2"/>
  <c r="AL85" i="2"/>
  <c r="AK85" i="2"/>
  <c r="AI85" i="2"/>
  <c r="AL87" i="2"/>
  <c r="AK87" i="2"/>
  <c r="AI87" i="2"/>
  <c r="AL89" i="2"/>
  <c r="AK89" i="2"/>
  <c r="AI89" i="2"/>
  <c r="AL91" i="2"/>
  <c r="AK91" i="2"/>
  <c r="AI91" i="2"/>
  <c r="AL93" i="2"/>
  <c r="AK93" i="2"/>
  <c r="AI93" i="2"/>
  <c r="AL95" i="2"/>
  <c r="AK95" i="2"/>
  <c r="AI95" i="2"/>
  <c r="AL97" i="2"/>
  <c r="AK97" i="2"/>
  <c r="AI97" i="2"/>
  <c r="AL99" i="2"/>
  <c r="AK99" i="2"/>
  <c r="AI99" i="2"/>
  <c r="AL101" i="2"/>
  <c r="AK101" i="2"/>
  <c r="AI101" i="2"/>
  <c r="AL103" i="2"/>
  <c r="AK103" i="2"/>
  <c r="AI103" i="2"/>
  <c r="AL105" i="2"/>
  <c r="AK105" i="2"/>
  <c r="AI105" i="2"/>
  <c r="AL107" i="2"/>
  <c r="AK107" i="2"/>
  <c r="AI107" i="2"/>
  <c r="AH109" i="2"/>
  <c r="AK109" i="2"/>
  <c r="AI109" i="2"/>
  <c r="AH111" i="2"/>
  <c r="AK111" i="2"/>
  <c r="AI111" i="2"/>
  <c r="AH113" i="2"/>
  <c r="AK113" i="2"/>
  <c r="AI113" i="2"/>
  <c r="AH115" i="2"/>
  <c r="AK115" i="2"/>
  <c r="AI115" i="2"/>
  <c r="AH117" i="2"/>
  <c r="AK117" i="2"/>
  <c r="AI117" i="2"/>
  <c r="AH119" i="2"/>
  <c r="AK119" i="2"/>
  <c r="AI119" i="2"/>
  <c r="AH121" i="2"/>
  <c r="AK121" i="2"/>
  <c r="AI121" i="2"/>
  <c r="AH123" i="2"/>
  <c r="AK123" i="2"/>
  <c r="AI123" i="2"/>
  <c r="AH125" i="2"/>
  <c r="AK125" i="2"/>
  <c r="AI125" i="2"/>
  <c r="AH127" i="2"/>
  <c r="AK127" i="2"/>
  <c r="AI127" i="2"/>
  <c r="AH129" i="2"/>
  <c r="AK129" i="2"/>
  <c r="AI129" i="2"/>
  <c r="AH131" i="2"/>
  <c r="AK131" i="2"/>
  <c r="AI131" i="2"/>
  <c r="AH133" i="2"/>
  <c r="AK133" i="2"/>
  <c r="AI133" i="2"/>
  <c r="AH135" i="2"/>
  <c r="AK135" i="2"/>
  <c r="AI135" i="2"/>
  <c r="AH137" i="2"/>
  <c r="AK137" i="2"/>
  <c r="AI137" i="2"/>
  <c r="AH139" i="2"/>
  <c r="AK139" i="2"/>
  <c r="AI139" i="2"/>
  <c r="AH141" i="2"/>
  <c r="AK141" i="2"/>
  <c r="AI141" i="2"/>
  <c r="AH143" i="2"/>
  <c r="AK143" i="2"/>
  <c r="AI143" i="2"/>
  <c r="AH145" i="2"/>
  <c r="AK145" i="2"/>
  <c r="AI145" i="2"/>
  <c r="AH147" i="2"/>
  <c r="AK147" i="2"/>
  <c r="AI147" i="2"/>
  <c r="AH149" i="2"/>
  <c r="AK149" i="2"/>
  <c r="AI149" i="2"/>
  <c r="AH151" i="2"/>
  <c r="AK151" i="2"/>
  <c r="AI151" i="2"/>
  <c r="AH153" i="2"/>
  <c r="AK153" i="2"/>
  <c r="AI153" i="2"/>
  <c r="AH155" i="2"/>
  <c r="AK155" i="2"/>
  <c r="AI155" i="2"/>
  <c r="AK9" i="2"/>
  <c r="AK12" i="2"/>
  <c r="AI12" i="2"/>
  <c r="AL24" i="2"/>
  <c r="AI24" i="2"/>
  <c r="AL26" i="2"/>
  <c r="AI26" i="2"/>
  <c r="AL28" i="2"/>
  <c r="AI28" i="2"/>
  <c r="AL30" i="2"/>
  <c r="AI30" i="2"/>
  <c r="AL32" i="2"/>
  <c r="AI32" i="2"/>
  <c r="AK32" i="2"/>
  <c r="AL34" i="2"/>
  <c r="AI34" i="2"/>
  <c r="AK34" i="2"/>
  <c r="AL36" i="2"/>
  <c r="AI36" i="2"/>
  <c r="AK36" i="2"/>
  <c r="AL38" i="2"/>
  <c r="AI38" i="2"/>
  <c r="AK38" i="2"/>
  <c r="AL40" i="2"/>
  <c r="AI40" i="2"/>
  <c r="AK40" i="2"/>
  <c r="AL42" i="2"/>
  <c r="AI42" i="2"/>
  <c r="AK42" i="2"/>
  <c r="AL44" i="2"/>
  <c r="AI44" i="2"/>
  <c r="AK44" i="2"/>
  <c r="AL46" i="2"/>
  <c r="AI46" i="2"/>
  <c r="AK46" i="2"/>
  <c r="AL48" i="2"/>
  <c r="AI48" i="2"/>
  <c r="AK48" i="2"/>
  <c r="AL50" i="2"/>
  <c r="AI50" i="2"/>
  <c r="AK50" i="2"/>
  <c r="AL52" i="2"/>
  <c r="AI52" i="2"/>
  <c r="AK52" i="2"/>
  <c r="AL54" i="2"/>
  <c r="AI54" i="2"/>
  <c r="AK54" i="2"/>
  <c r="AL56" i="2"/>
  <c r="AI56" i="2"/>
  <c r="AK56" i="2"/>
  <c r="AL58" i="2"/>
  <c r="AI58" i="2"/>
  <c r="AK58" i="2"/>
  <c r="AL60" i="2"/>
  <c r="AI60" i="2"/>
  <c r="AK60" i="2"/>
  <c r="AL62" i="2"/>
  <c r="AI62" i="2"/>
  <c r="AK62" i="2"/>
  <c r="AL64" i="2"/>
  <c r="AI64" i="2"/>
  <c r="AK64" i="2"/>
  <c r="AL66" i="2"/>
  <c r="AI66" i="2"/>
  <c r="AK66" i="2"/>
  <c r="AL68" i="2"/>
  <c r="AI68" i="2"/>
  <c r="AK68" i="2"/>
  <c r="AL70" i="2"/>
  <c r="AI70" i="2"/>
  <c r="AK70" i="2"/>
  <c r="AL72" i="2"/>
  <c r="AI72" i="2"/>
  <c r="AK72" i="2"/>
  <c r="AL74" i="2"/>
  <c r="AI74" i="2"/>
  <c r="AK74" i="2"/>
  <c r="AL76" i="2"/>
  <c r="AI76" i="2"/>
  <c r="AK76" i="2"/>
  <c r="AL78" i="2"/>
  <c r="AI78" i="2"/>
  <c r="AK78" i="2"/>
  <c r="AL80" i="2"/>
  <c r="AI80" i="2"/>
  <c r="AK80" i="2"/>
  <c r="AL82" i="2"/>
  <c r="AI82" i="2"/>
  <c r="AK82" i="2"/>
  <c r="AL84" i="2"/>
  <c r="AI84" i="2"/>
  <c r="AK84" i="2"/>
  <c r="AL86" i="2"/>
  <c r="AI86" i="2"/>
  <c r="AK86" i="2"/>
  <c r="AL88" i="2"/>
  <c r="AI88" i="2"/>
  <c r="AK88" i="2"/>
  <c r="AL90" i="2"/>
  <c r="AI90" i="2"/>
  <c r="AK90" i="2"/>
  <c r="AL92" i="2"/>
  <c r="AI92" i="2"/>
  <c r="AK92" i="2"/>
  <c r="AL94" i="2"/>
  <c r="AI94" i="2"/>
  <c r="AK94" i="2"/>
  <c r="AL96" i="2"/>
  <c r="AI96" i="2"/>
  <c r="AK96" i="2"/>
  <c r="AL98" i="2"/>
  <c r="AI98" i="2"/>
  <c r="AK98" i="2"/>
  <c r="AL100" i="2"/>
  <c r="AI100" i="2"/>
  <c r="AK100" i="2"/>
  <c r="AL102" i="2"/>
  <c r="AI102" i="2"/>
  <c r="AK102" i="2"/>
  <c r="AL104" i="2"/>
  <c r="AI104" i="2"/>
  <c r="AK104" i="2"/>
  <c r="AL106" i="2"/>
  <c r="AI106" i="2"/>
  <c r="AK106" i="2"/>
  <c r="AL108" i="2"/>
  <c r="AI108" i="2"/>
  <c r="AK108" i="2"/>
  <c r="AF110" i="2"/>
  <c r="AI110" i="2"/>
  <c r="AK110" i="2"/>
  <c r="AF112" i="2"/>
  <c r="AI112" i="2"/>
  <c r="AK112" i="2"/>
  <c r="AF114" i="2"/>
  <c r="AI114" i="2"/>
  <c r="AK114" i="2"/>
  <c r="AF116" i="2"/>
  <c r="AI116" i="2"/>
  <c r="AK116" i="2"/>
  <c r="AF118" i="2"/>
  <c r="AI118" i="2"/>
  <c r="AK118" i="2"/>
  <c r="AF120" i="2"/>
  <c r="AI120" i="2"/>
  <c r="AK120" i="2"/>
  <c r="AF122" i="2"/>
  <c r="AI122" i="2"/>
  <c r="AK122" i="2"/>
  <c r="AF124" i="2"/>
  <c r="AI124" i="2"/>
  <c r="AK124" i="2"/>
  <c r="AF126" i="2"/>
  <c r="AI126" i="2"/>
  <c r="AK126" i="2"/>
  <c r="AF128" i="2"/>
  <c r="AI128" i="2"/>
  <c r="AK128" i="2"/>
  <c r="AF130" i="2"/>
  <c r="AI130" i="2"/>
  <c r="AK130" i="2"/>
  <c r="AF132" i="2"/>
  <c r="AI132" i="2"/>
  <c r="AK132" i="2"/>
  <c r="AF134" i="2"/>
  <c r="AI134" i="2"/>
  <c r="AK134" i="2"/>
  <c r="AF136" i="2"/>
  <c r="AI136" i="2"/>
  <c r="AK136" i="2"/>
  <c r="AF138" i="2"/>
  <c r="AI138" i="2"/>
  <c r="AK138" i="2"/>
  <c r="AF140" i="2"/>
  <c r="AI140" i="2"/>
  <c r="AK140" i="2"/>
  <c r="AF142" i="2"/>
  <c r="AI142" i="2"/>
  <c r="AK142" i="2"/>
  <c r="AF144" i="2"/>
  <c r="AI144" i="2"/>
  <c r="AK144" i="2"/>
  <c r="AF146" i="2"/>
  <c r="AI146" i="2"/>
  <c r="AK146" i="2"/>
  <c r="AF148" i="2"/>
  <c r="AI148" i="2"/>
  <c r="AK148" i="2"/>
  <c r="AF150" i="2"/>
  <c r="AI150" i="2"/>
  <c r="AK150" i="2"/>
  <c r="AF152" i="2"/>
  <c r="AI152" i="2"/>
  <c r="AK152" i="2"/>
  <c r="AF154" i="2"/>
  <c r="AI154" i="2"/>
  <c r="AK154" i="2"/>
  <c r="AF156" i="2"/>
  <c r="AI156" i="2"/>
  <c r="AK156" i="2"/>
  <c r="AK7" i="2"/>
  <c r="AB21" i="2"/>
  <c r="AL12" i="2"/>
  <c r="AH12" i="2"/>
  <c r="AL16" i="2"/>
  <c r="AH16" i="2"/>
  <c r="AL8" i="2"/>
  <c r="AH8" i="2"/>
  <c r="AL13" i="2"/>
  <c r="AH13" i="2"/>
  <c r="AL21" i="2"/>
  <c r="AH21" i="2"/>
  <c r="AL9" i="2"/>
  <c r="AH9" i="2"/>
  <c r="AL14" i="2"/>
  <c r="AH14" i="2"/>
  <c r="AL18" i="2"/>
  <c r="AH18" i="2"/>
  <c r="AL22" i="2"/>
  <c r="AH22" i="2"/>
  <c r="AL7" i="2"/>
  <c r="AH7" i="2"/>
  <c r="AB11" i="2"/>
  <c r="AH11" i="2"/>
  <c r="AL10" i="2"/>
  <c r="AH10" i="2"/>
  <c r="AL15" i="2"/>
  <c r="AH15" i="2"/>
  <c r="AL19" i="2"/>
  <c r="AH19" i="2"/>
  <c r="AL23" i="2"/>
  <c r="AH23" i="2"/>
  <c r="AL20" i="2"/>
  <c r="AH20" i="2"/>
  <c r="AL17" i="2"/>
  <c r="AJ17" i="2"/>
  <c r="AL109" i="2"/>
  <c r="AL111" i="2"/>
  <c r="AL113" i="2"/>
  <c r="AL115" i="2"/>
  <c r="AL117" i="2"/>
  <c r="AL119" i="2"/>
  <c r="AL121" i="2"/>
  <c r="AL123" i="2"/>
  <c r="AL125" i="2"/>
  <c r="AL127" i="2"/>
  <c r="AL129" i="2"/>
  <c r="AL131" i="2"/>
  <c r="AL133" i="2"/>
  <c r="AL135" i="2"/>
  <c r="AL137" i="2"/>
  <c r="AL139" i="2"/>
  <c r="AL141" i="2"/>
  <c r="AL143" i="2"/>
  <c r="AL145" i="2"/>
  <c r="AL147" i="2"/>
  <c r="AL149" i="2"/>
  <c r="AL151" i="2"/>
  <c r="AL153" i="2"/>
  <c r="AL155" i="2"/>
  <c r="AL110" i="2"/>
  <c r="AL112" i="2"/>
  <c r="AL114" i="2"/>
  <c r="AL116" i="2"/>
  <c r="AL118" i="2"/>
  <c r="AL120" i="2"/>
  <c r="AL122" i="2"/>
  <c r="AL124" i="2"/>
  <c r="AL126" i="2"/>
  <c r="AL128" i="2"/>
  <c r="AL130" i="2"/>
  <c r="AL132" i="2"/>
  <c r="AL134" i="2"/>
  <c r="AL136" i="2"/>
  <c r="AL138" i="2"/>
  <c r="AL140" i="2"/>
  <c r="AL142" i="2"/>
  <c r="AL144" i="2"/>
  <c r="AL146" i="2"/>
  <c r="AL148" i="2"/>
  <c r="AL150" i="2"/>
  <c r="AL152" i="2"/>
  <c r="AL154" i="2"/>
  <c r="AL156" i="2"/>
  <c r="AL11" i="2"/>
  <c r="AJ8" i="2"/>
  <c r="AJ10" i="2"/>
  <c r="AJ13" i="2"/>
  <c r="AJ15" i="2"/>
  <c r="AJ19" i="2"/>
  <c r="AJ21" i="2"/>
  <c r="AJ23" i="2"/>
  <c r="AH25" i="2"/>
  <c r="AJ25" i="2"/>
  <c r="AH27" i="2"/>
  <c r="AJ27" i="2"/>
  <c r="AH29" i="2"/>
  <c r="AJ29" i="2"/>
  <c r="AH31" i="2"/>
  <c r="AJ31" i="2"/>
  <c r="AH33" i="2"/>
  <c r="AJ33" i="2"/>
  <c r="AH35" i="2"/>
  <c r="AJ35" i="2"/>
  <c r="AH37" i="2"/>
  <c r="AJ37" i="2"/>
  <c r="AH39" i="2"/>
  <c r="AJ39" i="2"/>
  <c r="AH41" i="2"/>
  <c r="AJ41" i="2"/>
  <c r="AH43" i="2"/>
  <c r="AJ43" i="2"/>
  <c r="AH45" i="2"/>
  <c r="AJ45" i="2"/>
  <c r="AH47" i="2"/>
  <c r="AJ47" i="2"/>
  <c r="AH49" i="2"/>
  <c r="AJ49" i="2"/>
  <c r="AH51" i="2"/>
  <c r="AJ51" i="2"/>
  <c r="AH53" i="2"/>
  <c r="AJ53" i="2"/>
  <c r="AE55" i="2"/>
  <c r="M55" i="2"/>
  <c r="AH55" i="2"/>
  <c r="AJ55" i="2"/>
  <c r="AH57" i="2"/>
  <c r="AJ57" i="2"/>
  <c r="AE59" i="2"/>
  <c r="M59" i="2"/>
  <c r="AH59" i="2"/>
  <c r="AJ59" i="2"/>
  <c r="AH61" i="2"/>
  <c r="AJ61" i="2"/>
  <c r="AE63" i="2"/>
  <c r="M63" i="2"/>
  <c r="AH63" i="2"/>
  <c r="AJ63" i="2"/>
  <c r="AH65" i="2"/>
  <c r="AJ65" i="2"/>
  <c r="AH67" i="2"/>
  <c r="AJ67" i="2"/>
  <c r="AH69" i="2"/>
  <c r="AJ69" i="2"/>
  <c r="AH71" i="2"/>
  <c r="AJ71" i="2"/>
  <c r="AH73" i="2"/>
  <c r="AJ73" i="2"/>
  <c r="AH75" i="2"/>
  <c r="AJ75" i="2"/>
  <c r="AH77" i="2"/>
  <c r="AJ77" i="2"/>
  <c r="AH79" i="2"/>
  <c r="AJ79" i="2"/>
  <c r="AH81" i="2"/>
  <c r="AJ81" i="2"/>
  <c r="AH83" i="2"/>
  <c r="AJ83" i="2"/>
  <c r="AH85" i="2"/>
  <c r="AJ85" i="2"/>
  <c r="AH87" i="2"/>
  <c r="AJ87" i="2"/>
  <c r="AH89" i="2"/>
  <c r="AJ89" i="2"/>
  <c r="AH91" i="2"/>
  <c r="AJ91" i="2"/>
  <c r="AH93" i="2"/>
  <c r="AJ93" i="2"/>
  <c r="AH95" i="2"/>
  <c r="AJ95" i="2"/>
  <c r="AH97" i="2"/>
  <c r="AJ97" i="2"/>
  <c r="AH99" i="2"/>
  <c r="AJ99" i="2"/>
  <c r="AH101" i="2"/>
  <c r="AJ101" i="2"/>
  <c r="AH103" i="2"/>
  <c r="AJ103" i="2"/>
  <c r="AH105" i="2"/>
  <c r="AJ105" i="2"/>
  <c r="AH107" i="2"/>
  <c r="AJ107" i="2"/>
  <c r="AJ156" i="2"/>
  <c r="AH156" i="2"/>
  <c r="AJ154" i="2"/>
  <c r="AH154" i="2"/>
  <c r="AJ152" i="2"/>
  <c r="AH152" i="2"/>
  <c r="AJ150" i="2"/>
  <c r="AH150" i="2"/>
  <c r="AJ148" i="2"/>
  <c r="AH148" i="2"/>
  <c r="AJ146" i="2"/>
  <c r="AH146" i="2"/>
  <c r="AJ144" i="2"/>
  <c r="AH144" i="2"/>
  <c r="AJ142" i="2"/>
  <c r="AH142" i="2"/>
  <c r="AJ140" i="2"/>
  <c r="AH140" i="2"/>
  <c r="AJ138" i="2"/>
  <c r="AH138" i="2"/>
  <c r="AJ136" i="2"/>
  <c r="AH136" i="2"/>
  <c r="AJ134" i="2"/>
  <c r="AH134" i="2"/>
  <c r="AJ132" i="2"/>
  <c r="AH132" i="2"/>
  <c r="AJ130" i="2"/>
  <c r="AH130" i="2"/>
  <c r="AJ128" i="2"/>
  <c r="AH128" i="2"/>
  <c r="AJ126" i="2"/>
  <c r="AH126" i="2"/>
  <c r="AJ124" i="2"/>
  <c r="AH124" i="2"/>
  <c r="AJ122" i="2"/>
  <c r="AH122" i="2"/>
  <c r="AJ120" i="2"/>
  <c r="AH120" i="2"/>
  <c r="AJ118" i="2"/>
  <c r="AH118" i="2"/>
  <c r="AJ116" i="2"/>
  <c r="AH116" i="2"/>
  <c r="AJ114" i="2"/>
  <c r="AH114" i="2"/>
  <c r="AJ112" i="2"/>
  <c r="AH112" i="2"/>
  <c r="AJ110" i="2"/>
  <c r="AH110" i="2"/>
  <c r="AJ11" i="2"/>
  <c r="AJ9" i="2"/>
  <c r="AF12" i="2"/>
  <c r="AJ12" i="2"/>
  <c r="AF14" i="2"/>
  <c r="AJ14" i="2"/>
  <c r="AF16" i="2"/>
  <c r="AJ16" i="2"/>
  <c r="AF18" i="2"/>
  <c r="AJ18" i="2"/>
  <c r="AF20" i="2"/>
  <c r="AJ20" i="2"/>
  <c r="AF22" i="2"/>
  <c r="AJ22" i="2"/>
  <c r="AF24" i="2"/>
  <c r="AH24" i="2"/>
  <c r="AJ24" i="2"/>
  <c r="AF26" i="2"/>
  <c r="AH26" i="2"/>
  <c r="AJ26" i="2"/>
  <c r="AF28" i="2"/>
  <c r="AH28" i="2"/>
  <c r="AJ28" i="2"/>
  <c r="AF30" i="2"/>
  <c r="AH30" i="2"/>
  <c r="AJ30" i="2"/>
  <c r="AF32" i="2"/>
  <c r="AH32" i="2"/>
  <c r="AJ32" i="2"/>
  <c r="AF34" i="2"/>
  <c r="AH34" i="2"/>
  <c r="AJ34" i="2"/>
  <c r="AF36" i="2"/>
  <c r="AH36" i="2"/>
  <c r="AJ36" i="2"/>
  <c r="AF38" i="2"/>
  <c r="AH38" i="2"/>
  <c r="AJ38" i="2"/>
  <c r="AF40" i="2"/>
  <c r="AH40" i="2"/>
  <c r="AJ40" i="2"/>
  <c r="AF42" i="2"/>
  <c r="AH42" i="2"/>
  <c r="AJ42" i="2"/>
  <c r="AF44" i="2"/>
  <c r="AH44" i="2"/>
  <c r="AJ44" i="2"/>
  <c r="AF46" i="2"/>
  <c r="AH46" i="2"/>
  <c r="AJ46" i="2"/>
  <c r="AF48" i="2"/>
  <c r="AH48" i="2"/>
  <c r="AJ48" i="2"/>
  <c r="AF50" i="2"/>
  <c r="AH50" i="2"/>
  <c r="AJ50" i="2"/>
  <c r="AF52" i="2"/>
  <c r="AH52" i="2"/>
  <c r="AJ52" i="2"/>
  <c r="AF54" i="2"/>
  <c r="AH54" i="2"/>
  <c r="AJ54" i="2"/>
  <c r="AF56" i="2"/>
  <c r="AH56" i="2"/>
  <c r="AJ56" i="2"/>
  <c r="AF58" i="2"/>
  <c r="AH58" i="2"/>
  <c r="AJ58" i="2"/>
  <c r="AF60" i="2"/>
  <c r="AH60" i="2"/>
  <c r="AJ60" i="2"/>
  <c r="AF62" i="2"/>
  <c r="AH62" i="2"/>
  <c r="AJ62" i="2"/>
  <c r="AF64" i="2"/>
  <c r="AH64" i="2"/>
  <c r="AJ64" i="2"/>
  <c r="AF66" i="2"/>
  <c r="AH66" i="2"/>
  <c r="AJ66" i="2"/>
  <c r="AF68" i="2"/>
  <c r="AH68" i="2"/>
  <c r="AJ68" i="2"/>
  <c r="AF70" i="2"/>
  <c r="AH70" i="2"/>
  <c r="AJ70" i="2"/>
  <c r="AF72" i="2"/>
  <c r="AH72" i="2"/>
  <c r="AJ72" i="2"/>
  <c r="AF74" i="2"/>
  <c r="AH74" i="2"/>
  <c r="AJ74" i="2"/>
  <c r="AF76" i="2"/>
  <c r="AH76" i="2"/>
  <c r="AJ76" i="2"/>
  <c r="AF78" i="2"/>
  <c r="AH78" i="2"/>
  <c r="AJ78" i="2"/>
  <c r="AF80" i="2"/>
  <c r="AH80" i="2"/>
  <c r="AJ80" i="2"/>
  <c r="AF82" i="2"/>
  <c r="AH82" i="2"/>
  <c r="AJ82" i="2"/>
  <c r="AF84" i="2"/>
  <c r="AH84" i="2"/>
  <c r="AJ84" i="2"/>
  <c r="AF86" i="2"/>
  <c r="AH86" i="2"/>
  <c r="AJ86" i="2"/>
  <c r="AF88" i="2"/>
  <c r="AH88" i="2"/>
  <c r="AJ88" i="2"/>
  <c r="AF90" i="2"/>
  <c r="AH90" i="2"/>
  <c r="AJ90" i="2"/>
  <c r="AF92" i="2"/>
  <c r="AH92" i="2"/>
  <c r="AJ92" i="2"/>
  <c r="AF94" i="2"/>
  <c r="AH94" i="2"/>
  <c r="AJ94" i="2"/>
  <c r="AF96" i="2"/>
  <c r="AH96" i="2"/>
  <c r="AJ96" i="2"/>
  <c r="AF98" i="2"/>
  <c r="AH98" i="2"/>
  <c r="AJ98" i="2"/>
  <c r="AF100" i="2"/>
  <c r="AH100" i="2"/>
  <c r="AJ100" i="2"/>
  <c r="AF102" i="2"/>
  <c r="AH102" i="2"/>
  <c r="AJ102" i="2"/>
  <c r="AF104" i="2"/>
  <c r="AH104" i="2"/>
  <c r="AJ104" i="2"/>
  <c r="AF106" i="2"/>
  <c r="AH106" i="2"/>
  <c r="AJ106" i="2"/>
  <c r="AF108" i="2"/>
  <c r="AH108" i="2"/>
  <c r="AJ108" i="2"/>
  <c r="AJ7" i="2"/>
  <c r="AJ155" i="2"/>
  <c r="AJ153" i="2"/>
  <c r="AJ151" i="2"/>
  <c r="AJ149" i="2"/>
  <c r="AJ147" i="2"/>
  <c r="AJ145" i="2"/>
  <c r="AJ143" i="2"/>
  <c r="AJ141" i="2"/>
  <c r="AJ139" i="2"/>
  <c r="AJ137" i="2"/>
  <c r="AJ135" i="2"/>
  <c r="AJ133" i="2"/>
  <c r="AJ131" i="2"/>
  <c r="AJ129" i="2"/>
  <c r="AJ127" i="2"/>
  <c r="AJ125" i="2"/>
  <c r="AJ123" i="2"/>
  <c r="AJ121" i="2"/>
  <c r="AJ119" i="2"/>
  <c r="AJ117" i="2"/>
  <c r="AJ115" i="2"/>
  <c r="AJ113" i="2"/>
  <c r="AJ111" i="2"/>
  <c r="AJ109" i="2"/>
  <c r="AF9" i="2"/>
  <c r="AE9" i="2"/>
  <c r="AE10" i="2"/>
  <c r="AE11" i="2"/>
  <c r="AE12" i="2"/>
  <c r="M12" i="2"/>
  <c r="AE13" i="2"/>
  <c r="AE14" i="2"/>
  <c r="M14" i="2"/>
  <c r="AE15" i="2"/>
  <c r="M15" i="2"/>
  <c r="AE16" i="2"/>
  <c r="M16" i="2"/>
  <c r="AE17" i="2"/>
  <c r="AE18" i="2"/>
  <c r="AE19" i="2"/>
  <c r="M19" i="2"/>
  <c r="AE20" i="2"/>
  <c r="M20" i="2"/>
  <c r="AE21" i="2"/>
  <c r="AE22" i="2"/>
  <c r="M22" i="2"/>
  <c r="AE23" i="2"/>
  <c r="M23" i="2"/>
  <c r="AE24" i="2"/>
  <c r="M24" i="2"/>
  <c r="AE25" i="2"/>
  <c r="M25" i="2"/>
  <c r="AE26" i="2"/>
  <c r="M26" i="2"/>
  <c r="AE27" i="2"/>
  <c r="M27" i="2"/>
  <c r="AE28" i="2"/>
  <c r="M28" i="2"/>
  <c r="AE29" i="2"/>
  <c r="M29" i="2"/>
  <c r="AE30" i="2"/>
  <c r="M30" i="2"/>
  <c r="AE31" i="2"/>
  <c r="M31" i="2"/>
  <c r="AE32" i="2"/>
  <c r="M32" i="2"/>
  <c r="AE33" i="2"/>
  <c r="M33" i="2"/>
  <c r="AE34" i="2"/>
  <c r="M34" i="2"/>
  <c r="AE35" i="2"/>
  <c r="M35" i="2"/>
  <c r="AE36" i="2"/>
  <c r="M36" i="2"/>
  <c r="AE37" i="2"/>
  <c r="M37" i="2"/>
  <c r="AE38" i="2"/>
  <c r="M38" i="2"/>
  <c r="AE39" i="2"/>
  <c r="M39" i="2"/>
  <c r="AE40" i="2"/>
  <c r="M40" i="2"/>
  <c r="AE41" i="2"/>
  <c r="M41" i="2"/>
  <c r="AE42" i="2"/>
  <c r="M42" i="2"/>
  <c r="AE43" i="2"/>
  <c r="M43" i="2"/>
  <c r="AE44" i="2"/>
  <c r="M44" i="2"/>
  <c r="AE45" i="2"/>
  <c r="M45" i="2"/>
  <c r="AE46" i="2"/>
  <c r="M46" i="2"/>
  <c r="AE47" i="2"/>
  <c r="M47" i="2"/>
  <c r="AE48" i="2"/>
  <c r="M48" i="2"/>
  <c r="AE49" i="2"/>
  <c r="M49" i="2"/>
  <c r="AE50" i="2"/>
  <c r="M50" i="2"/>
  <c r="AE51" i="2"/>
  <c r="M51" i="2"/>
  <c r="AE52" i="2"/>
  <c r="M52" i="2"/>
  <c r="AE53" i="2"/>
  <c r="M53" i="2"/>
  <c r="AE54" i="2"/>
  <c r="M54" i="2"/>
  <c r="AE56" i="2"/>
  <c r="M56" i="2"/>
  <c r="AE57" i="2"/>
  <c r="M57" i="2"/>
  <c r="AE58" i="2"/>
  <c r="M58" i="2"/>
  <c r="AE60" i="2"/>
  <c r="M60" i="2"/>
  <c r="AE61" i="2"/>
  <c r="M61" i="2"/>
  <c r="AE62" i="2"/>
  <c r="M62" i="2"/>
  <c r="AE64" i="2"/>
  <c r="M64" i="2"/>
  <c r="AE65" i="2"/>
  <c r="M65" i="2"/>
  <c r="AE66" i="2"/>
  <c r="M66" i="2"/>
  <c r="AE67" i="2"/>
  <c r="M67" i="2"/>
  <c r="AE68" i="2"/>
  <c r="M68" i="2"/>
  <c r="AE69" i="2"/>
  <c r="M69" i="2"/>
  <c r="AE70" i="2"/>
  <c r="M70" i="2"/>
  <c r="AE71" i="2"/>
  <c r="M71" i="2"/>
  <c r="AE72" i="2"/>
  <c r="M72" i="2"/>
  <c r="AE73" i="2"/>
  <c r="M73" i="2"/>
  <c r="AE74" i="2"/>
  <c r="M74" i="2"/>
  <c r="AE75" i="2"/>
  <c r="M75" i="2"/>
  <c r="AE76" i="2"/>
  <c r="M76" i="2"/>
  <c r="AE77" i="2"/>
  <c r="M77" i="2"/>
  <c r="AE78" i="2"/>
  <c r="M78" i="2"/>
  <c r="AE79" i="2"/>
  <c r="M79" i="2"/>
  <c r="AE80" i="2"/>
  <c r="M80" i="2"/>
  <c r="AE81" i="2"/>
  <c r="M81" i="2"/>
  <c r="AE82" i="2"/>
  <c r="M82" i="2"/>
  <c r="AE83" i="2"/>
  <c r="M83" i="2"/>
  <c r="AE84" i="2"/>
  <c r="M84" i="2"/>
  <c r="AE85" i="2"/>
  <c r="M85" i="2"/>
  <c r="AE86" i="2"/>
  <c r="M86" i="2"/>
  <c r="AE87" i="2"/>
  <c r="M87" i="2"/>
  <c r="AE88" i="2"/>
  <c r="M88" i="2"/>
  <c r="AE89" i="2"/>
  <c r="M89" i="2"/>
  <c r="AE90" i="2"/>
  <c r="M90" i="2"/>
  <c r="AE91" i="2"/>
  <c r="M91" i="2"/>
  <c r="AE92" i="2"/>
  <c r="M92" i="2"/>
  <c r="AE93" i="2"/>
  <c r="M93" i="2"/>
  <c r="AE94" i="2"/>
  <c r="M94" i="2"/>
  <c r="AE95" i="2"/>
  <c r="M95" i="2"/>
  <c r="AE96" i="2"/>
  <c r="M96" i="2"/>
  <c r="AE97" i="2"/>
  <c r="M97" i="2"/>
  <c r="AE98" i="2"/>
  <c r="M98" i="2"/>
  <c r="AE99" i="2"/>
  <c r="M99" i="2"/>
  <c r="AE100" i="2"/>
  <c r="M100" i="2"/>
  <c r="AE101" i="2"/>
  <c r="M101" i="2"/>
  <c r="AE102" i="2"/>
  <c r="M102" i="2"/>
  <c r="AE103" i="2"/>
  <c r="M103" i="2"/>
  <c r="AE104" i="2"/>
  <c r="M104" i="2"/>
  <c r="AE105" i="2"/>
  <c r="M105" i="2"/>
  <c r="AE106" i="2"/>
  <c r="M106" i="2"/>
  <c r="AE107" i="2"/>
  <c r="M107" i="2"/>
  <c r="AE108" i="2"/>
  <c r="M108" i="2"/>
  <c r="AE109" i="2"/>
  <c r="M109" i="2"/>
  <c r="AE110" i="2"/>
  <c r="M110" i="2"/>
  <c r="AE111" i="2"/>
  <c r="M111" i="2"/>
  <c r="AE112" i="2"/>
  <c r="M112" i="2"/>
  <c r="AE113" i="2"/>
  <c r="M113" i="2"/>
  <c r="AE114" i="2"/>
  <c r="M114" i="2"/>
  <c r="AE115" i="2"/>
  <c r="M115" i="2"/>
  <c r="AE116" i="2"/>
  <c r="M116" i="2"/>
  <c r="AE117" i="2"/>
  <c r="M117" i="2"/>
  <c r="AE118" i="2"/>
  <c r="M118" i="2"/>
  <c r="AE119" i="2"/>
  <c r="M119" i="2"/>
  <c r="AE120" i="2"/>
  <c r="M120" i="2"/>
  <c r="AE121" i="2"/>
  <c r="M121" i="2"/>
  <c r="AE122" i="2"/>
  <c r="M122" i="2"/>
  <c r="AE123" i="2"/>
  <c r="M123" i="2"/>
  <c r="AE124" i="2"/>
  <c r="M124" i="2"/>
  <c r="AE125" i="2"/>
  <c r="M125" i="2"/>
  <c r="AE126" i="2"/>
  <c r="M126" i="2"/>
  <c r="AE127" i="2"/>
  <c r="M127" i="2"/>
  <c r="AE128" i="2"/>
  <c r="M128" i="2"/>
  <c r="AE129" i="2"/>
  <c r="M129" i="2"/>
  <c r="AE130" i="2"/>
  <c r="M130" i="2"/>
  <c r="AE131" i="2"/>
  <c r="M131" i="2"/>
  <c r="AE132" i="2"/>
  <c r="M132" i="2"/>
  <c r="AE133" i="2"/>
  <c r="M133" i="2"/>
  <c r="AE134" i="2"/>
  <c r="M134" i="2"/>
  <c r="AE135" i="2"/>
  <c r="M135" i="2"/>
  <c r="AE136" i="2"/>
  <c r="M136" i="2"/>
  <c r="AE137" i="2"/>
  <c r="M137" i="2"/>
  <c r="AE138" i="2"/>
  <c r="M138" i="2"/>
  <c r="AE139" i="2"/>
  <c r="M139" i="2"/>
  <c r="AE140" i="2"/>
  <c r="M140" i="2"/>
  <c r="AE141" i="2"/>
  <c r="M141" i="2"/>
  <c r="AE142" i="2"/>
  <c r="M142" i="2"/>
  <c r="AE143" i="2"/>
  <c r="M143" i="2"/>
  <c r="AE144" i="2"/>
  <c r="M144" i="2"/>
  <c r="AE145" i="2"/>
  <c r="M145" i="2"/>
  <c r="AE146" i="2"/>
  <c r="M146" i="2"/>
  <c r="AE147" i="2"/>
  <c r="M147" i="2"/>
  <c r="AE148" i="2"/>
  <c r="M148" i="2"/>
  <c r="AE149" i="2"/>
  <c r="M149" i="2"/>
  <c r="AE150" i="2"/>
  <c r="M150" i="2"/>
  <c r="AE151" i="2"/>
  <c r="M151" i="2"/>
  <c r="AE152" i="2"/>
  <c r="M152" i="2"/>
  <c r="AE153" i="2"/>
  <c r="M153" i="2"/>
  <c r="AE154" i="2"/>
  <c r="M154" i="2"/>
  <c r="AE155" i="2"/>
  <c r="M155" i="2"/>
  <c r="AE156" i="2"/>
  <c r="M156" i="2"/>
  <c r="AF8" i="2"/>
  <c r="AF10" i="2"/>
  <c r="AF11" i="2"/>
  <c r="AF13" i="2"/>
  <c r="AF15" i="2"/>
  <c r="AF17" i="2"/>
  <c r="AF19" i="2"/>
  <c r="AF21" i="2"/>
  <c r="AF23" i="2"/>
  <c r="AF25" i="2"/>
  <c r="AF27" i="2"/>
  <c r="AF29" i="2"/>
  <c r="AF31" i="2"/>
  <c r="AF33" i="2"/>
  <c r="AF35" i="2"/>
  <c r="AF37" i="2"/>
  <c r="AF39" i="2"/>
  <c r="AF41" i="2"/>
  <c r="AF43" i="2"/>
  <c r="AF45" i="2"/>
  <c r="AF47" i="2"/>
  <c r="AF49" i="2"/>
  <c r="AF51" i="2"/>
  <c r="AF53" i="2"/>
  <c r="AF55" i="2"/>
  <c r="AF57" i="2"/>
  <c r="AF59" i="2"/>
  <c r="AF61" i="2"/>
  <c r="AF63" i="2"/>
  <c r="AF65" i="2"/>
  <c r="AF67" i="2"/>
  <c r="AF69" i="2"/>
  <c r="AF71" i="2"/>
  <c r="AF73" i="2"/>
  <c r="AF75" i="2"/>
  <c r="AF77" i="2"/>
  <c r="AF79" i="2"/>
  <c r="AF81" i="2"/>
  <c r="AF83" i="2"/>
  <c r="AF85" i="2"/>
  <c r="AF87" i="2"/>
  <c r="AF89" i="2"/>
  <c r="AF91" i="2"/>
  <c r="AF93" i="2"/>
  <c r="AF95" i="2"/>
  <c r="AF97" i="2"/>
  <c r="AF99" i="2"/>
  <c r="AF101" i="2"/>
  <c r="AF103" i="2"/>
  <c r="AF105" i="2"/>
  <c r="AF107" i="2"/>
  <c r="AF109" i="2"/>
  <c r="AF111" i="2"/>
  <c r="AF113" i="2"/>
  <c r="AF115" i="2"/>
  <c r="AF117" i="2"/>
  <c r="AF119" i="2"/>
  <c r="AF121" i="2"/>
  <c r="AF123" i="2"/>
  <c r="AF125" i="2"/>
  <c r="AF127" i="2"/>
  <c r="AF129" i="2"/>
  <c r="AF131" i="2"/>
  <c r="AF133" i="2"/>
  <c r="AF135" i="2"/>
  <c r="AF137" i="2"/>
  <c r="AF139" i="2"/>
  <c r="AF141" i="2"/>
  <c r="AF143" i="2"/>
  <c r="AF145" i="2"/>
  <c r="AF147" i="2"/>
  <c r="AF149" i="2"/>
  <c r="AF151" i="2"/>
  <c r="AF153" i="2"/>
  <c r="AF155" i="2"/>
  <c r="AO9" i="2"/>
  <c r="AO12" i="2"/>
  <c r="AO14" i="2"/>
  <c r="AO16" i="2"/>
  <c r="AO18" i="2"/>
  <c r="AO20" i="2"/>
  <c r="AO22" i="2"/>
  <c r="AO24" i="2"/>
  <c r="AO26" i="2"/>
  <c r="AO28" i="2"/>
  <c r="AO30" i="2"/>
  <c r="AO32" i="2"/>
  <c r="AO34" i="2"/>
  <c r="AO36" i="2"/>
  <c r="AO38" i="2"/>
  <c r="AO40" i="2"/>
  <c r="AO42" i="2"/>
  <c r="AO44" i="2"/>
  <c r="AO46" i="2"/>
  <c r="AO48" i="2"/>
  <c r="AO50" i="2"/>
  <c r="AO52" i="2"/>
  <c r="AO54" i="2"/>
  <c r="AO56" i="2"/>
  <c r="AO58" i="2"/>
  <c r="AO60" i="2"/>
  <c r="AO62" i="2"/>
  <c r="AO64" i="2"/>
  <c r="AO66" i="2"/>
  <c r="AO68" i="2"/>
  <c r="AO70" i="2"/>
  <c r="AO72" i="2"/>
  <c r="AO74" i="2"/>
  <c r="AO76" i="2"/>
  <c r="AO78" i="2"/>
  <c r="AO80" i="2"/>
  <c r="AO82" i="2"/>
  <c r="AO84" i="2"/>
  <c r="AO86" i="2"/>
  <c r="AO88" i="2"/>
  <c r="AO90" i="2"/>
  <c r="AO92" i="2"/>
  <c r="AO94" i="2"/>
  <c r="AO96" i="2"/>
  <c r="AO98" i="2"/>
  <c r="AO100" i="2"/>
  <c r="AO102" i="2"/>
  <c r="AO104" i="2"/>
  <c r="AO106" i="2"/>
  <c r="AO108" i="2"/>
  <c r="AO110" i="2"/>
  <c r="AO112" i="2"/>
  <c r="AO114" i="2"/>
  <c r="AO116" i="2"/>
  <c r="AO118" i="2"/>
  <c r="AO120" i="2"/>
  <c r="AO122" i="2"/>
  <c r="AO124" i="2"/>
  <c r="AO126" i="2"/>
  <c r="AO128" i="2"/>
  <c r="AO130" i="2"/>
  <c r="AO132" i="2"/>
  <c r="AO134" i="2"/>
  <c r="AO136" i="2"/>
  <c r="AO138" i="2"/>
  <c r="AO140" i="2"/>
  <c r="AO142" i="2"/>
  <c r="AO144" i="2"/>
  <c r="AO146" i="2"/>
  <c r="AO148" i="2"/>
  <c r="AO150" i="2"/>
  <c r="AO152" i="2"/>
  <c r="AO154" i="2"/>
  <c r="AO156" i="2"/>
  <c r="AO11" i="2"/>
  <c r="AO8" i="2"/>
  <c r="AO10" i="2"/>
  <c r="AO13" i="2"/>
  <c r="AO15" i="2"/>
  <c r="AO17" i="2"/>
  <c r="AO19" i="2"/>
  <c r="AO21" i="2"/>
  <c r="AO23" i="2"/>
  <c r="AO25" i="2"/>
  <c r="AO27" i="2"/>
  <c r="AO29" i="2"/>
  <c r="AO31" i="2"/>
  <c r="AO33" i="2"/>
  <c r="AO35" i="2"/>
  <c r="AO37" i="2"/>
  <c r="AO39" i="2"/>
  <c r="AO41" i="2"/>
  <c r="AO43" i="2"/>
  <c r="AO45" i="2"/>
  <c r="AO47" i="2"/>
  <c r="AO49" i="2"/>
  <c r="AO51" i="2"/>
  <c r="AO53" i="2"/>
  <c r="AO55" i="2"/>
  <c r="AO57" i="2"/>
  <c r="AO59" i="2"/>
  <c r="AO61" i="2"/>
  <c r="AO63" i="2"/>
  <c r="AO65" i="2"/>
  <c r="AO67" i="2"/>
  <c r="AO69" i="2"/>
  <c r="AO71" i="2"/>
  <c r="AO73" i="2"/>
  <c r="AO75" i="2"/>
  <c r="AO77" i="2"/>
  <c r="AO79" i="2"/>
  <c r="AO81" i="2"/>
  <c r="AO83" i="2"/>
  <c r="AO85" i="2"/>
  <c r="AO87" i="2"/>
  <c r="AO89" i="2"/>
  <c r="AO91" i="2"/>
  <c r="AO93" i="2"/>
  <c r="AO95" i="2"/>
  <c r="AO97" i="2"/>
  <c r="AO99" i="2"/>
  <c r="AO101" i="2"/>
  <c r="AO103" i="2"/>
  <c r="AO105" i="2"/>
  <c r="AO107" i="2"/>
  <c r="AO109" i="2"/>
  <c r="AO111" i="2"/>
  <c r="AO113" i="2"/>
  <c r="AO115" i="2"/>
  <c r="AO117" i="2"/>
  <c r="AO119" i="2"/>
  <c r="AO121" i="2"/>
  <c r="AO123" i="2"/>
  <c r="AO125" i="2"/>
  <c r="AO127" i="2"/>
  <c r="AO129" i="2"/>
  <c r="AO131" i="2"/>
  <c r="AO133" i="2"/>
  <c r="AO135" i="2"/>
  <c r="AO137" i="2"/>
  <c r="AO139" i="2"/>
  <c r="AO141" i="2"/>
  <c r="AO143" i="2"/>
  <c r="AO145" i="2"/>
  <c r="AO147" i="2"/>
  <c r="AO149" i="2"/>
  <c r="AO151" i="2"/>
  <c r="AO153" i="2"/>
  <c r="AO155" i="2"/>
  <c r="AB8" i="2"/>
  <c r="J8" i="2"/>
  <c r="AX17" i="2"/>
  <c r="AX21" i="2"/>
  <c r="AX13" i="2"/>
  <c r="M18" i="2"/>
  <c r="AX7" i="2"/>
  <c r="M17" i="2"/>
  <c r="M9" i="2"/>
  <c r="M7" i="2"/>
  <c r="M11" i="2"/>
  <c r="M8" i="2"/>
  <c r="M21" i="2"/>
  <c r="M13" i="2"/>
  <c r="BB7" i="2"/>
  <c r="N7" i="2"/>
  <c r="AX9" i="2"/>
  <c r="BB9" i="2"/>
  <c r="N9" i="2"/>
  <c r="BB10" i="2"/>
  <c r="N10" i="2"/>
  <c r="M10" i="2"/>
  <c r="G10" i="2"/>
  <c r="X24" i="2"/>
  <c r="X23" i="2"/>
  <c r="X22" i="2"/>
  <c r="X21" i="2"/>
  <c r="X20" i="2"/>
  <c r="X19" i="2"/>
  <c r="X18" i="2"/>
  <c r="X17" i="2"/>
  <c r="X16"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O53" i="2"/>
  <c r="X52" i="2"/>
  <c r="O52" i="2"/>
  <c r="X51" i="2"/>
  <c r="O51" i="2"/>
  <c r="X50" i="2"/>
  <c r="O50" i="2"/>
  <c r="X49" i="2"/>
  <c r="O49" i="2"/>
  <c r="X48" i="2"/>
  <c r="O48" i="2"/>
  <c r="X47" i="2"/>
  <c r="O47" i="2"/>
  <c r="X46" i="2"/>
  <c r="O46" i="2"/>
  <c r="X45" i="2"/>
  <c r="O45" i="2"/>
  <c r="X44" i="2"/>
  <c r="O44" i="2"/>
  <c r="X43" i="2"/>
  <c r="O43" i="2"/>
  <c r="X42" i="2"/>
  <c r="O42" i="2"/>
  <c r="X41" i="2"/>
  <c r="O41" i="2"/>
  <c r="X40" i="2"/>
  <c r="O40" i="2"/>
  <c r="X39" i="2"/>
  <c r="O39" i="2"/>
  <c r="X38" i="2"/>
  <c r="O38" i="2"/>
  <c r="X37" i="2"/>
  <c r="O37" i="2"/>
  <c r="X36" i="2"/>
  <c r="O36" i="2"/>
  <c r="X35" i="2"/>
  <c r="O35" i="2"/>
  <c r="X34" i="2"/>
  <c r="O34" i="2"/>
  <c r="X33" i="2"/>
  <c r="O33" i="2"/>
  <c r="X32" i="2"/>
  <c r="O32" i="2"/>
  <c r="X31" i="2"/>
  <c r="X30" i="2"/>
  <c r="X28" i="2"/>
  <c r="X27" i="2"/>
  <c r="X26" i="2"/>
  <c r="X25" i="2"/>
  <c r="X15" i="2"/>
  <c r="X14" i="2"/>
  <c r="X13" i="2"/>
  <c r="X12" i="2"/>
  <c r="O12" i="2"/>
  <c r="X11" i="2"/>
  <c r="X10" i="2"/>
  <c r="X9" i="2"/>
  <c r="X8" i="2"/>
  <c r="X7" i="2"/>
  <c r="X29" i="2"/>
  <c r="AB156" i="2"/>
  <c r="J156" i="2"/>
  <c r="AB155" i="2"/>
  <c r="J155" i="2"/>
  <c r="AB154" i="2"/>
  <c r="J154" i="2"/>
  <c r="AB153" i="2"/>
  <c r="J153" i="2"/>
  <c r="AB152" i="2"/>
  <c r="J152" i="2"/>
  <c r="AB151" i="2"/>
  <c r="J151" i="2"/>
  <c r="AB150" i="2"/>
  <c r="J150" i="2"/>
  <c r="AB149" i="2"/>
  <c r="J149" i="2"/>
  <c r="AB148" i="2"/>
  <c r="J148" i="2"/>
  <c r="AB147" i="2"/>
  <c r="J147" i="2"/>
  <c r="AB146" i="2"/>
  <c r="J146" i="2"/>
  <c r="AB145" i="2"/>
  <c r="J145" i="2"/>
  <c r="AB144" i="2"/>
  <c r="J144" i="2"/>
  <c r="AB143" i="2"/>
  <c r="J143" i="2"/>
  <c r="AB142" i="2"/>
  <c r="J142" i="2"/>
  <c r="AB141" i="2"/>
  <c r="J141" i="2"/>
  <c r="AB140" i="2"/>
  <c r="J140" i="2"/>
  <c r="AB139" i="2"/>
  <c r="J139" i="2"/>
  <c r="AB138" i="2"/>
  <c r="J138" i="2"/>
  <c r="AB137" i="2"/>
  <c r="J137" i="2"/>
  <c r="AB136" i="2"/>
  <c r="J136" i="2"/>
  <c r="AB135" i="2"/>
  <c r="J135" i="2"/>
  <c r="AB134" i="2"/>
  <c r="J134" i="2"/>
  <c r="AB133" i="2"/>
  <c r="J133" i="2"/>
  <c r="AB132" i="2"/>
  <c r="J132" i="2"/>
  <c r="AB131" i="2"/>
  <c r="J131" i="2"/>
  <c r="AB130" i="2"/>
  <c r="J130" i="2"/>
  <c r="AB129" i="2"/>
  <c r="J129" i="2"/>
  <c r="AB128" i="2"/>
  <c r="J128" i="2"/>
  <c r="AB127" i="2"/>
  <c r="J127" i="2"/>
  <c r="AB126" i="2"/>
  <c r="J126" i="2"/>
  <c r="AB125" i="2"/>
  <c r="J125" i="2"/>
  <c r="AB124" i="2"/>
  <c r="J124" i="2"/>
  <c r="AB123" i="2"/>
  <c r="J123" i="2"/>
  <c r="AB122" i="2"/>
  <c r="J122" i="2"/>
  <c r="AB121" i="2"/>
  <c r="J121" i="2"/>
  <c r="AB120" i="2"/>
  <c r="J120" i="2"/>
  <c r="AB119" i="2"/>
  <c r="J119" i="2"/>
  <c r="AB118" i="2"/>
  <c r="J118" i="2"/>
  <c r="AB117" i="2"/>
  <c r="J117" i="2"/>
  <c r="AB116" i="2"/>
  <c r="J116" i="2"/>
  <c r="AB115" i="2"/>
  <c r="J115" i="2"/>
  <c r="AB114" i="2"/>
  <c r="J114" i="2"/>
  <c r="AB113" i="2"/>
  <c r="J113" i="2"/>
  <c r="AB112" i="2"/>
  <c r="J112" i="2"/>
  <c r="AB111" i="2"/>
  <c r="J111" i="2"/>
  <c r="AB110" i="2"/>
  <c r="J110" i="2"/>
  <c r="AB109" i="2"/>
  <c r="J109" i="2"/>
  <c r="AB108" i="2"/>
  <c r="J108" i="2"/>
  <c r="AB107" i="2"/>
  <c r="J107" i="2"/>
  <c r="AB106" i="2"/>
  <c r="J106" i="2"/>
  <c r="AB105" i="2"/>
  <c r="J105" i="2"/>
  <c r="AB104" i="2"/>
  <c r="J104" i="2"/>
  <c r="AB103" i="2"/>
  <c r="J103" i="2"/>
  <c r="AB102" i="2"/>
  <c r="J102" i="2"/>
  <c r="AB101" i="2"/>
  <c r="J101" i="2"/>
  <c r="AB100" i="2"/>
  <c r="J100" i="2"/>
  <c r="AB99" i="2"/>
  <c r="J99" i="2"/>
  <c r="AB98" i="2"/>
  <c r="J98" i="2"/>
  <c r="AB97" i="2"/>
  <c r="J97" i="2"/>
  <c r="AB96" i="2"/>
  <c r="J96" i="2"/>
  <c r="AB95" i="2"/>
  <c r="J95" i="2"/>
  <c r="AB94" i="2"/>
  <c r="J94" i="2"/>
  <c r="AB93" i="2"/>
  <c r="J93" i="2"/>
  <c r="AB92" i="2"/>
  <c r="J92" i="2"/>
  <c r="AB91" i="2"/>
  <c r="J91" i="2"/>
  <c r="AB90" i="2"/>
  <c r="J90" i="2"/>
  <c r="AB89" i="2"/>
  <c r="J89" i="2"/>
  <c r="AB88" i="2"/>
  <c r="J88" i="2"/>
  <c r="AB87" i="2"/>
  <c r="J87" i="2"/>
  <c r="AB86" i="2"/>
  <c r="J86" i="2"/>
  <c r="AB85" i="2"/>
  <c r="J85" i="2"/>
  <c r="AB84" i="2"/>
  <c r="J84" i="2"/>
  <c r="AB83" i="2"/>
  <c r="J83" i="2"/>
  <c r="AB82" i="2"/>
  <c r="J82" i="2"/>
  <c r="AB81" i="2"/>
  <c r="J81" i="2"/>
  <c r="AB80" i="2"/>
  <c r="J80" i="2"/>
  <c r="AB79" i="2"/>
  <c r="J79" i="2"/>
  <c r="AB78" i="2"/>
  <c r="J78" i="2"/>
  <c r="AB77" i="2"/>
  <c r="J77" i="2"/>
  <c r="AB76" i="2"/>
  <c r="J76" i="2"/>
  <c r="AB72" i="2"/>
  <c r="J72" i="2"/>
  <c r="AB68" i="2"/>
  <c r="J68" i="2"/>
  <c r="AB64" i="2"/>
  <c r="J64" i="2"/>
  <c r="AB60" i="2"/>
  <c r="J60" i="2"/>
  <c r="AB7" i="2"/>
  <c r="J7" i="2"/>
  <c r="O8" i="2"/>
  <c r="AK8" i="2"/>
  <c r="O7" i="2"/>
  <c r="AI7" i="2"/>
  <c r="O11" i="2"/>
  <c r="AI11" i="2"/>
  <c r="O10" i="2"/>
  <c r="AI10" i="2"/>
  <c r="O9" i="2"/>
  <c r="AI9" i="2"/>
  <c r="O14" i="2"/>
  <c r="AI14" i="2"/>
  <c r="O25" i="2"/>
  <c r="AK25" i="2"/>
  <c r="O27" i="2"/>
  <c r="AK27" i="2"/>
  <c r="O17" i="2"/>
  <c r="AI17" i="2"/>
  <c r="O19" i="2"/>
  <c r="AI19" i="2"/>
  <c r="O21" i="2"/>
  <c r="AK21" i="2"/>
  <c r="O23" i="2"/>
  <c r="AK23" i="2"/>
  <c r="O13" i="2"/>
  <c r="AI13" i="2"/>
  <c r="O15" i="2"/>
  <c r="AI15" i="2"/>
  <c r="O26" i="2"/>
  <c r="AK26" i="2"/>
  <c r="O16" i="2"/>
  <c r="AI16" i="2"/>
  <c r="O18" i="2"/>
  <c r="AI18" i="2"/>
  <c r="O20" i="2"/>
  <c r="AK20" i="2"/>
  <c r="O22" i="2"/>
  <c r="AK22" i="2"/>
  <c r="O24" i="2"/>
  <c r="AK24" i="2"/>
  <c r="O31" i="2"/>
  <c r="AK31" i="2"/>
  <c r="O30" i="2"/>
  <c r="AK30" i="2"/>
  <c r="O29" i="2"/>
  <c r="AK29" i="2"/>
  <c r="O28" i="2"/>
  <c r="AK28" i="2"/>
  <c r="O54" i="2"/>
  <c r="O56" i="2"/>
  <c r="O58" i="2"/>
  <c r="O60" i="2"/>
  <c r="O62" i="2"/>
  <c r="O64" i="2"/>
  <c r="O66" i="2"/>
  <c r="O68" i="2"/>
  <c r="O70" i="2"/>
  <c r="O72" i="2"/>
  <c r="O74" i="2"/>
  <c r="O76" i="2"/>
  <c r="O78" i="2"/>
  <c r="O80" i="2"/>
  <c r="O82" i="2"/>
  <c r="O84" i="2"/>
  <c r="O86" i="2"/>
  <c r="O88" i="2"/>
  <c r="O90" i="2"/>
  <c r="O92" i="2"/>
  <c r="O94" i="2"/>
  <c r="O96" i="2"/>
  <c r="O98" i="2"/>
  <c r="O100" i="2"/>
  <c r="O102" i="2"/>
  <c r="O104" i="2"/>
  <c r="O106" i="2"/>
  <c r="O108" i="2"/>
  <c r="O110" i="2"/>
  <c r="O112" i="2"/>
  <c r="O114" i="2"/>
  <c r="O116" i="2"/>
  <c r="O118" i="2"/>
  <c r="O120" i="2"/>
  <c r="O122" i="2"/>
  <c r="O124" i="2"/>
  <c r="O126" i="2"/>
  <c r="O128" i="2"/>
  <c r="O130" i="2"/>
  <c r="O132" i="2"/>
  <c r="O134" i="2"/>
  <c r="O136" i="2"/>
  <c r="O138" i="2"/>
  <c r="O140" i="2"/>
  <c r="O142" i="2"/>
  <c r="O144" i="2"/>
  <c r="O146" i="2"/>
  <c r="O148" i="2"/>
  <c r="O150" i="2"/>
  <c r="O152" i="2"/>
  <c r="O154" i="2"/>
  <c r="O156" i="2"/>
  <c r="O55" i="2"/>
  <c r="O57" i="2"/>
  <c r="O59" i="2"/>
  <c r="O61" i="2"/>
  <c r="O63" i="2"/>
  <c r="O65" i="2"/>
  <c r="O67" i="2"/>
  <c r="O69" i="2"/>
  <c r="O71" i="2"/>
  <c r="O73" i="2"/>
  <c r="O75" i="2"/>
  <c r="O77" i="2"/>
  <c r="O79" i="2"/>
  <c r="O81" i="2"/>
  <c r="O83" i="2"/>
  <c r="O85" i="2"/>
  <c r="O87" i="2"/>
  <c r="O89" i="2"/>
  <c r="O91" i="2"/>
  <c r="O93" i="2"/>
  <c r="O95" i="2"/>
  <c r="O97" i="2"/>
  <c r="O99" i="2"/>
  <c r="O101" i="2"/>
  <c r="O103" i="2"/>
  <c r="O105" i="2"/>
  <c r="O107" i="2"/>
  <c r="O109" i="2"/>
  <c r="O111" i="2"/>
  <c r="O113" i="2"/>
  <c r="O115" i="2"/>
  <c r="O117" i="2"/>
  <c r="O119" i="2"/>
  <c r="O121" i="2"/>
  <c r="O123" i="2"/>
  <c r="O125" i="2"/>
  <c r="O127" i="2"/>
  <c r="O129" i="2"/>
  <c r="O131" i="2"/>
  <c r="O133" i="2"/>
  <c r="O135" i="2"/>
  <c r="O137" i="2"/>
  <c r="O139" i="2"/>
  <c r="O141" i="2"/>
  <c r="O143" i="2"/>
  <c r="O145" i="2"/>
  <c r="O147" i="2"/>
  <c r="O149" i="2"/>
  <c r="O151" i="2"/>
  <c r="O153" i="2"/>
  <c r="O155" i="2"/>
  <c r="AN33" i="2"/>
  <c r="AN35" i="2"/>
  <c r="AN37" i="2"/>
  <c r="AN39" i="2"/>
  <c r="AN41" i="2"/>
  <c r="AN43" i="2"/>
  <c r="AN45" i="2"/>
  <c r="AN47" i="2"/>
  <c r="AN49" i="2"/>
  <c r="AN51" i="2"/>
  <c r="AN53" i="2"/>
  <c r="AN55" i="2"/>
  <c r="AN57" i="2"/>
  <c r="AN59" i="2"/>
  <c r="AN61" i="2"/>
  <c r="AC63" i="2"/>
  <c r="AN63" i="2"/>
  <c r="AN65" i="2"/>
  <c r="AC67" i="2"/>
  <c r="AN67" i="2"/>
  <c r="AC69" i="2"/>
  <c r="AN69" i="2"/>
  <c r="AC71" i="2"/>
  <c r="AN71" i="2"/>
  <c r="AC73" i="2"/>
  <c r="AN73" i="2"/>
  <c r="AC75" i="2"/>
  <c r="AN75" i="2"/>
  <c r="AN77" i="2"/>
  <c r="AC79" i="2"/>
  <c r="AN79" i="2"/>
  <c r="AC81" i="2"/>
  <c r="AN81" i="2"/>
  <c r="AC83" i="2"/>
  <c r="AN83" i="2"/>
  <c r="AC85" i="2"/>
  <c r="AN85" i="2"/>
  <c r="AC87" i="2"/>
  <c r="AN87" i="2"/>
  <c r="AC89" i="2"/>
  <c r="AN89" i="2"/>
  <c r="AC91" i="2"/>
  <c r="AN91" i="2"/>
  <c r="AC93" i="2"/>
  <c r="AN93" i="2"/>
  <c r="AC95" i="2"/>
  <c r="AN95" i="2"/>
  <c r="AN97" i="2"/>
  <c r="AC99" i="2"/>
  <c r="AN99" i="2"/>
  <c r="AC101" i="2"/>
  <c r="AN101" i="2"/>
  <c r="AC103" i="2"/>
  <c r="AN103" i="2"/>
  <c r="AC105" i="2"/>
  <c r="AN105" i="2"/>
  <c r="AC107" i="2"/>
  <c r="AN107" i="2"/>
  <c r="AC109" i="2"/>
  <c r="AN109" i="2"/>
  <c r="AC111" i="2"/>
  <c r="AN111" i="2"/>
  <c r="AC113" i="2"/>
  <c r="AN113" i="2"/>
  <c r="AC115" i="2"/>
  <c r="AN115" i="2"/>
  <c r="AC117" i="2"/>
  <c r="AN117" i="2"/>
  <c r="AC119" i="2"/>
  <c r="AN119" i="2"/>
  <c r="AC121" i="2"/>
  <c r="AN121" i="2"/>
  <c r="AC123" i="2"/>
  <c r="AN123" i="2"/>
  <c r="AC125" i="2"/>
  <c r="AN125" i="2"/>
  <c r="AC127" i="2"/>
  <c r="AN127" i="2"/>
  <c r="AC129" i="2"/>
  <c r="AN129" i="2"/>
  <c r="AC131" i="2"/>
  <c r="AN131" i="2"/>
  <c r="AC133" i="2"/>
  <c r="AN133" i="2"/>
  <c r="AC135" i="2"/>
  <c r="AN135" i="2"/>
  <c r="AC137" i="2"/>
  <c r="AN137" i="2"/>
  <c r="AC139" i="2"/>
  <c r="AN139" i="2"/>
  <c r="AC141" i="2"/>
  <c r="AN141" i="2"/>
  <c r="AC143" i="2"/>
  <c r="AN143" i="2"/>
  <c r="AC145" i="2"/>
  <c r="AN145" i="2"/>
  <c r="AC147" i="2"/>
  <c r="AN147" i="2"/>
  <c r="AC149" i="2"/>
  <c r="AN149" i="2"/>
  <c r="AC151" i="2"/>
  <c r="AN151" i="2"/>
  <c r="AC153" i="2"/>
  <c r="AN153" i="2"/>
  <c r="AC155" i="2"/>
  <c r="AN155" i="2"/>
  <c r="AN32" i="2"/>
  <c r="AN34" i="2"/>
  <c r="AN36" i="2"/>
  <c r="AN38" i="2"/>
  <c r="AN40" i="2"/>
  <c r="AN42" i="2"/>
  <c r="AB44" i="2"/>
  <c r="J44" i="2"/>
  <c r="AN44" i="2"/>
  <c r="AN46" i="2"/>
  <c r="AN48" i="2"/>
  <c r="AN50" i="2"/>
  <c r="AN52" i="2"/>
  <c r="AN54" i="2"/>
  <c r="AN56" i="2"/>
  <c r="AB58" i="2"/>
  <c r="J58" i="2"/>
  <c r="AN58" i="2"/>
  <c r="AN60" i="2"/>
  <c r="AC62" i="2"/>
  <c r="AN62" i="2"/>
  <c r="AC64" i="2"/>
  <c r="AN64" i="2"/>
  <c r="AC66" i="2"/>
  <c r="AN66" i="2"/>
  <c r="AC68" i="2"/>
  <c r="AN68" i="2"/>
  <c r="AC70" i="2"/>
  <c r="AN70" i="2"/>
  <c r="AC72" i="2"/>
  <c r="AN72" i="2"/>
  <c r="AC74" i="2"/>
  <c r="AN74" i="2"/>
  <c r="AC76" i="2"/>
  <c r="AN76" i="2"/>
  <c r="AC78" i="2"/>
  <c r="AN78" i="2"/>
  <c r="AC80" i="2"/>
  <c r="AN80" i="2"/>
  <c r="AC82" i="2"/>
  <c r="AN82" i="2"/>
  <c r="AC84" i="2"/>
  <c r="AN84" i="2"/>
  <c r="AC86" i="2"/>
  <c r="AN86" i="2"/>
  <c r="AN88" i="2"/>
  <c r="AC90" i="2"/>
  <c r="AN90" i="2"/>
  <c r="AC92" i="2"/>
  <c r="AN92" i="2"/>
  <c r="AC94" i="2"/>
  <c r="AN94" i="2"/>
  <c r="AC96" i="2"/>
  <c r="AN96" i="2"/>
  <c r="AC98" i="2"/>
  <c r="AN98" i="2"/>
  <c r="AC100" i="2"/>
  <c r="AN100" i="2"/>
  <c r="AC102" i="2"/>
  <c r="AN102" i="2"/>
  <c r="AC104" i="2"/>
  <c r="AN104" i="2"/>
  <c r="AC106" i="2"/>
  <c r="AN106" i="2"/>
  <c r="AC108" i="2"/>
  <c r="AN108" i="2"/>
  <c r="AC110" i="2"/>
  <c r="AN110" i="2"/>
  <c r="AN112" i="2"/>
  <c r="AC114" i="2"/>
  <c r="AN114" i="2"/>
  <c r="AC116" i="2"/>
  <c r="AN116" i="2"/>
  <c r="AN118" i="2"/>
  <c r="AC120" i="2"/>
  <c r="AN120" i="2"/>
  <c r="AN122" i="2"/>
  <c r="AN124" i="2"/>
  <c r="AC126" i="2"/>
  <c r="AN126" i="2"/>
  <c r="AC128" i="2"/>
  <c r="AN128" i="2"/>
  <c r="AC130" i="2"/>
  <c r="AN130" i="2"/>
  <c r="AC132" i="2"/>
  <c r="AN132" i="2"/>
  <c r="AN134" i="2"/>
  <c r="AC136" i="2"/>
  <c r="AN136" i="2"/>
  <c r="AN138" i="2"/>
  <c r="AC140" i="2"/>
  <c r="AN140" i="2"/>
  <c r="AC142" i="2"/>
  <c r="AN142" i="2"/>
  <c r="AN144" i="2"/>
  <c r="AC146" i="2"/>
  <c r="AN146" i="2"/>
  <c r="AN148" i="2"/>
  <c r="AN150" i="2"/>
  <c r="AC152" i="2"/>
  <c r="AN152" i="2"/>
  <c r="AN154" i="2"/>
  <c r="AN156" i="2"/>
  <c r="AB23" i="2"/>
  <c r="J23" i="2"/>
  <c r="AB48" i="2"/>
  <c r="J48" i="2"/>
  <c r="AB36" i="2"/>
  <c r="J36" i="2"/>
  <c r="AB52" i="2"/>
  <c r="J52" i="2"/>
  <c r="AB43" i="2"/>
  <c r="J43" i="2"/>
  <c r="AB24" i="2"/>
  <c r="J24" i="2"/>
  <c r="AB40" i="2"/>
  <c r="J40" i="2"/>
  <c r="AB56" i="2"/>
  <c r="J56" i="2"/>
  <c r="AB32" i="2"/>
  <c r="J32" i="2"/>
  <c r="AB33" i="2"/>
  <c r="J33" i="2"/>
  <c r="AB37" i="2"/>
  <c r="J37" i="2"/>
  <c r="AB41" i="2"/>
  <c r="J41" i="2"/>
  <c r="AB45" i="2"/>
  <c r="J45" i="2"/>
  <c r="AB49" i="2"/>
  <c r="J49" i="2"/>
  <c r="AB53" i="2"/>
  <c r="J53" i="2"/>
  <c r="AB57" i="2"/>
  <c r="J57" i="2"/>
  <c r="AB61" i="2"/>
  <c r="J61" i="2"/>
  <c r="AB65" i="2"/>
  <c r="J65" i="2"/>
  <c r="AB69" i="2"/>
  <c r="J69" i="2"/>
  <c r="AB73" i="2"/>
  <c r="J73" i="2"/>
  <c r="AB34" i="2"/>
  <c r="J34" i="2"/>
  <c r="AB38" i="2"/>
  <c r="J38" i="2"/>
  <c r="AB42" i="2"/>
  <c r="J42" i="2"/>
  <c r="AB46" i="2"/>
  <c r="J46" i="2"/>
  <c r="AB50" i="2"/>
  <c r="J50" i="2"/>
  <c r="AB54" i="2"/>
  <c r="J54" i="2"/>
  <c r="AB62" i="2"/>
  <c r="J62" i="2"/>
  <c r="AB66" i="2"/>
  <c r="J66" i="2"/>
  <c r="AB70" i="2"/>
  <c r="J70" i="2"/>
  <c r="AB74" i="2"/>
  <c r="J74" i="2"/>
  <c r="AB15" i="2"/>
  <c r="J15" i="2"/>
  <c r="AB26" i="2"/>
  <c r="J26" i="2"/>
  <c r="AB35" i="2"/>
  <c r="J35" i="2"/>
  <c r="AB39" i="2"/>
  <c r="J39" i="2"/>
  <c r="AB47" i="2"/>
  <c r="J47" i="2"/>
  <c r="AB51" i="2"/>
  <c r="J51" i="2"/>
  <c r="AB55" i="2"/>
  <c r="J55" i="2"/>
  <c r="AB59" i="2"/>
  <c r="J59" i="2"/>
  <c r="AB63" i="2"/>
  <c r="J63" i="2"/>
  <c r="AB67" i="2"/>
  <c r="J67" i="2"/>
  <c r="AB71" i="2"/>
  <c r="J71" i="2"/>
  <c r="AB75" i="2"/>
  <c r="J75" i="2"/>
  <c r="AB28" i="2"/>
  <c r="J28" i="2"/>
  <c r="AB31" i="2"/>
  <c r="J31" i="2"/>
  <c r="AB27" i="2"/>
  <c r="J27" i="2"/>
  <c r="AB9" i="2"/>
  <c r="J9" i="2"/>
  <c r="AB17" i="2"/>
  <c r="J17" i="2"/>
  <c r="AB14" i="2"/>
  <c r="J14" i="2"/>
  <c r="AB13" i="2"/>
  <c r="J13" i="2"/>
  <c r="AB12" i="2"/>
  <c r="J12" i="2"/>
  <c r="AB18" i="2"/>
  <c r="J18" i="2"/>
  <c r="AB22" i="2"/>
  <c r="J22" i="2"/>
  <c r="AB19" i="2"/>
  <c r="J19" i="2"/>
  <c r="AB25" i="2"/>
  <c r="J25" i="2"/>
  <c r="AC112" i="2"/>
  <c r="AC156" i="2"/>
  <c r="AC118" i="2"/>
  <c r="AC122" i="2"/>
  <c r="AC150" i="2"/>
  <c r="AC154" i="2"/>
  <c r="AC88" i="2"/>
  <c r="AB10" i="2"/>
  <c r="J10" i="2"/>
  <c r="AB16" i="2"/>
  <c r="J16" i="2"/>
  <c r="AC61" i="2"/>
  <c r="AC65" i="2"/>
  <c r="AC77" i="2"/>
  <c r="AC97" i="2"/>
  <c r="AC124" i="2"/>
  <c r="AC144" i="2"/>
  <c r="AC148" i="2"/>
  <c r="J11" i="2"/>
  <c r="AC134" i="2"/>
  <c r="AC138" i="2"/>
  <c r="F155" i="2"/>
  <c r="AD155" i="2"/>
  <c r="AV155" i="2"/>
  <c r="AW155" i="2"/>
  <c r="F7" i="2"/>
  <c r="F9" i="2"/>
  <c r="F11" i="2"/>
  <c r="F12" i="2"/>
  <c r="AN12" i="2"/>
  <c r="F13" i="2"/>
  <c r="AN13" i="2"/>
  <c r="F14" i="2"/>
  <c r="AN14" i="2"/>
  <c r="F15" i="2"/>
  <c r="AN15" i="2"/>
  <c r="F16" i="2"/>
  <c r="AN16" i="2"/>
  <c r="F17" i="2"/>
  <c r="AN17" i="2"/>
  <c r="F18" i="2"/>
  <c r="AN18" i="2"/>
  <c r="F19" i="2"/>
  <c r="AN19" i="2"/>
  <c r="AN11" i="2"/>
  <c r="AN7" i="2"/>
  <c r="AN9" i="2"/>
  <c r="Q19" i="2"/>
  <c r="R19" i="2"/>
  <c r="Q155" i="2"/>
  <c r="R155" i="2"/>
  <c r="F20" i="2"/>
  <c r="AN20" i="2"/>
  <c r="AB20" i="2"/>
  <c r="J20" i="2"/>
  <c r="J21" i="2"/>
  <c r="AT155" i="2"/>
  <c r="AU155" i="2"/>
  <c r="AA155" i="2"/>
  <c r="L155" i="2"/>
  <c r="AR155" i="2"/>
  <c r="AS155" i="2"/>
  <c r="Y155" i="2"/>
  <c r="I155" i="2"/>
  <c r="H155" i="2"/>
  <c r="G155" i="2"/>
  <c r="AG155" i="2"/>
  <c r="Z155" i="2"/>
  <c r="K155" i="2"/>
  <c r="F10" i="2"/>
  <c r="AG10" i="2"/>
  <c r="G9" i="2"/>
  <c r="AG9" i="2"/>
  <c r="G8" i="2"/>
  <c r="F8" i="2"/>
  <c r="AG7" i="2"/>
  <c r="G20" i="2"/>
  <c r="G19" i="2"/>
  <c r="AG19" i="2"/>
  <c r="G18" i="2"/>
  <c r="AG18" i="2"/>
  <c r="G17" i="2"/>
  <c r="AG17" i="2"/>
  <c r="G16" i="2"/>
  <c r="AG16" i="2"/>
  <c r="G15" i="2"/>
  <c r="AG15" i="2"/>
  <c r="G14" i="2"/>
  <c r="AG14" i="2"/>
  <c r="G13" i="2"/>
  <c r="AG13" i="2"/>
  <c r="G12" i="2"/>
  <c r="AG12" i="2"/>
  <c r="G11" i="2"/>
  <c r="AG11" i="2"/>
  <c r="AQ155" i="2"/>
  <c r="P155" i="2"/>
  <c r="AG8" i="2"/>
  <c r="AG20" i="2"/>
  <c r="AN8" i="2"/>
  <c r="Q8" i="2"/>
  <c r="R8" i="2"/>
  <c r="AN10" i="2"/>
  <c r="Q10" i="2"/>
  <c r="R10" i="2"/>
  <c r="Q16" i="2"/>
  <c r="R16" i="2"/>
  <c r="Q20" i="2"/>
  <c r="R20" i="2"/>
  <c r="Q17" i="2"/>
  <c r="R17" i="2"/>
  <c r="Q18" i="2"/>
  <c r="R18" i="2"/>
  <c r="Q11" i="2"/>
  <c r="R11" i="2"/>
  <c r="Q12" i="2"/>
  <c r="R12" i="2"/>
  <c r="Q9" i="2"/>
  <c r="R9" i="2"/>
  <c r="Q13" i="2"/>
  <c r="R13" i="2"/>
  <c r="Q7" i="2"/>
  <c r="R7" i="2"/>
  <c r="Q14" i="2"/>
  <c r="R14" i="2"/>
  <c r="AP155" i="2"/>
  <c r="S155" i="2"/>
  <c r="T155" i="2"/>
  <c r="Q15" i="2"/>
  <c r="R15" i="2"/>
  <c r="Z153" i="2"/>
  <c r="AA152" i="2"/>
  <c r="L152" i="2"/>
  <c r="AD146" i="2"/>
  <c r="AR142" i="2"/>
  <c r="AS142" i="2"/>
  <c r="AV138" i="2"/>
  <c r="AW138" i="2"/>
  <c r="Y137" i="2"/>
  <c r="I137" i="2"/>
  <c r="AA132" i="2"/>
  <c r="L132" i="2"/>
  <c r="AD131" i="2"/>
  <c r="Y130" i="2"/>
  <c r="I130" i="2"/>
  <c r="H128" i="2"/>
  <c r="AD127" i="2"/>
  <c r="AA123" i="2"/>
  <c r="L123" i="2"/>
  <c r="AR122" i="2"/>
  <c r="AS122" i="2"/>
  <c r="AV120" i="2"/>
  <c r="AW120" i="2"/>
  <c r="AA116" i="2"/>
  <c r="L116" i="2"/>
  <c r="Z115" i="2"/>
  <c r="AV114" i="2"/>
  <c r="AW114" i="2"/>
  <c r="AR112" i="2"/>
  <c r="AS112" i="2"/>
  <c r="F107" i="2"/>
  <c r="AA104" i="2"/>
  <c r="L104" i="2"/>
  <c r="G96" i="2"/>
  <c r="F94" i="2"/>
  <c r="AD89" i="2"/>
  <c r="F86" i="2"/>
  <c r="H82" i="2"/>
  <c r="G78" i="2"/>
  <c r="AT72" i="2"/>
  <c r="AU72" i="2"/>
  <c r="AV71" i="2"/>
  <c r="AW71" i="2"/>
  <c r="G70" i="2"/>
  <c r="AT66" i="2"/>
  <c r="AU66" i="2"/>
  <c r="AV63" i="2"/>
  <c r="AW63" i="2"/>
  <c r="G54" i="2"/>
  <c r="AT52" i="2"/>
  <c r="AU52" i="2"/>
  <c r="AV42" i="2"/>
  <c r="AW42" i="2"/>
  <c r="AR41" i="2"/>
  <c r="AS41" i="2"/>
  <c r="AV40" i="2"/>
  <c r="AW40" i="2"/>
  <c r="G39" i="2"/>
  <c r="AT36" i="2"/>
  <c r="AU36" i="2"/>
  <c r="AT34" i="2"/>
  <c r="AU34" i="2"/>
  <c r="G32" i="2"/>
  <c r="AR30" i="2"/>
  <c r="AS30" i="2"/>
  <c r="AR18" i="2"/>
  <c r="AS18" i="2"/>
  <c r="AR16" i="2"/>
  <c r="AT12" i="2"/>
  <c r="AV10" i="2"/>
  <c r="AB30" i="2"/>
  <c r="J30" i="2"/>
  <c r="AB29" i="2"/>
  <c r="J29" i="2"/>
  <c r="Q111" i="2"/>
  <c r="R111" i="2"/>
  <c r="Q124" i="2"/>
  <c r="R124" i="2"/>
  <c r="AP90" i="2"/>
  <c r="S90" i="2"/>
  <c r="T90" i="2"/>
  <c r="AT28" i="2"/>
  <c r="AU28" i="2"/>
  <c r="AT48" i="2"/>
  <c r="AU48" i="2"/>
  <c r="AR50" i="2"/>
  <c r="AS50" i="2"/>
  <c r="AT24" i="2"/>
  <c r="AU24" i="2"/>
  <c r="AV23" i="2"/>
  <c r="AW23" i="2"/>
  <c r="Z82" i="2"/>
  <c r="AT111" i="2"/>
  <c r="AU111" i="2"/>
  <c r="AT123" i="2"/>
  <c r="AU123" i="2"/>
  <c r="AD153" i="2"/>
  <c r="K153" i="2"/>
  <c r="AR108" i="2"/>
  <c r="AS108" i="2"/>
  <c r="F111" i="2"/>
  <c r="AR131" i="2"/>
  <c r="AS131" i="2"/>
  <c r="Y135" i="2"/>
  <c r="I135" i="2"/>
  <c r="K127" i="2"/>
  <c r="AR67" i="2"/>
  <c r="AS67" i="2"/>
  <c r="AT13" i="2"/>
  <c r="K131" i="2"/>
  <c r="K89" i="2"/>
  <c r="AT21" i="2"/>
  <c r="AU21" i="2"/>
  <c r="AT49" i="2"/>
  <c r="AU49" i="2"/>
  <c r="H85" i="2"/>
  <c r="Z93" i="2"/>
  <c r="AA101" i="2"/>
  <c r="L101" i="2"/>
  <c r="H101" i="2"/>
  <c r="AV105" i="2"/>
  <c r="AW105" i="2"/>
  <c r="Y105" i="2"/>
  <c r="I105" i="2"/>
  <c r="AV113" i="2"/>
  <c r="AW113" i="2"/>
  <c r="Y113" i="2"/>
  <c r="I113" i="2"/>
  <c r="AR125" i="2"/>
  <c r="AS125" i="2"/>
  <c r="AD129" i="2"/>
  <c r="H141" i="2"/>
  <c r="AD145" i="2"/>
  <c r="AT156" i="2"/>
  <c r="AU156" i="2"/>
  <c r="Z78" i="2"/>
  <c r="F153" i="2"/>
  <c r="Y119" i="2"/>
  <c r="I119" i="2"/>
  <c r="K146" i="2"/>
  <c r="G80" i="2"/>
  <c r="AV128" i="2"/>
  <c r="AW128" i="2"/>
  <c r="AT16" i="2"/>
  <c r="G76" i="2"/>
  <c r="AA85" i="2"/>
  <c r="L85" i="2"/>
  <c r="G93" i="2"/>
  <c r="F105" i="2"/>
  <c r="G113" i="2"/>
  <c r="AD84" i="2"/>
  <c r="K84" i="2"/>
  <c r="Z156" i="2"/>
  <c r="AT9" i="2"/>
  <c r="G36" i="2"/>
  <c r="Z112" i="2"/>
  <c r="F152" i="2"/>
  <c r="G72" i="2"/>
  <c r="F85" i="2"/>
  <c r="Z105" i="2"/>
  <c r="AA112" i="2"/>
  <c r="L112" i="2"/>
  <c r="Z113" i="2"/>
  <c r="Y132" i="2"/>
  <c r="I132" i="2"/>
  <c r="AD141" i="2"/>
  <c r="AA82" i="2"/>
  <c r="L82" i="2"/>
  <c r="F113" i="2"/>
  <c r="AT7" i="2"/>
  <c r="AU7" i="2"/>
  <c r="G62" i="2"/>
  <c r="AA90" i="2"/>
  <c r="L90" i="2"/>
  <c r="Y142" i="2"/>
  <c r="I142" i="2"/>
  <c r="AT146" i="2"/>
  <c r="AU146" i="2"/>
  <c r="F115" i="2"/>
  <c r="H132" i="2"/>
  <c r="AV48" i="2"/>
  <c r="AW48" i="2"/>
  <c r="AV55" i="2"/>
  <c r="AW55" i="2"/>
  <c r="H67" i="2"/>
  <c r="Y67" i="2"/>
  <c r="I67" i="2"/>
  <c r="F90" i="2"/>
  <c r="AA108" i="2"/>
  <c r="L108" i="2"/>
  <c r="G111" i="2"/>
  <c r="AA124" i="2"/>
  <c r="L124" i="2"/>
  <c r="Y138" i="2"/>
  <c r="I138" i="2"/>
  <c r="F156" i="2"/>
  <c r="AT11" i="2"/>
  <c r="AT15" i="2"/>
  <c r="G40" i="2"/>
  <c r="AT40" i="2"/>
  <c r="AU40" i="2"/>
  <c r="G48" i="2"/>
  <c r="AA67" i="2"/>
  <c r="G88" i="2"/>
  <c r="G90" i="2"/>
  <c r="AV104" i="2"/>
  <c r="AW104" i="2"/>
  <c r="Y111" i="2"/>
  <c r="I111" i="2"/>
  <c r="AT113" i="2"/>
  <c r="AU113" i="2"/>
  <c r="Y129" i="2"/>
  <c r="I129" i="2"/>
  <c r="H131" i="2"/>
  <c r="Y131" i="2"/>
  <c r="I131" i="2"/>
  <c r="H146" i="2"/>
  <c r="Z146" i="2"/>
  <c r="G156" i="2"/>
  <c r="AA156" i="2"/>
  <c r="L156" i="2"/>
  <c r="AV22" i="2"/>
  <c r="AW22" i="2"/>
  <c r="AR22" i="2"/>
  <c r="AS22" i="2"/>
  <c r="Z74" i="2"/>
  <c r="H74" i="2"/>
  <c r="Z102" i="2"/>
  <c r="Z107" i="2"/>
  <c r="AV107" i="2"/>
  <c r="AW107" i="2"/>
  <c r="AV134" i="2"/>
  <c r="AW134" i="2"/>
  <c r="Y134" i="2"/>
  <c r="I134" i="2"/>
  <c r="AT147" i="2"/>
  <c r="AU147" i="2"/>
  <c r="AA147" i="2"/>
  <c r="L147" i="2"/>
  <c r="H147" i="2"/>
  <c r="G147" i="2"/>
  <c r="AA148" i="2"/>
  <c r="L148" i="2"/>
  <c r="H148" i="2"/>
  <c r="Z148" i="2"/>
  <c r="G148" i="2"/>
  <c r="G31" i="2"/>
  <c r="AV36" i="2"/>
  <c r="AW36" i="2"/>
  <c r="AT44" i="2"/>
  <c r="AU44" i="2"/>
  <c r="AR51" i="2"/>
  <c r="AS51" i="2"/>
  <c r="AA64" i="2"/>
  <c r="AV64" i="2"/>
  <c r="AW64" i="2"/>
  <c r="H64" i="2"/>
  <c r="Y65" i="2"/>
  <c r="AD65" i="2"/>
  <c r="AA72" i="2"/>
  <c r="H72" i="2"/>
  <c r="AV72" i="2"/>
  <c r="AW72" i="2"/>
  <c r="F74" i="2"/>
  <c r="Z83" i="2"/>
  <c r="AD83" i="2"/>
  <c r="K83" i="2"/>
  <c r="H83" i="2"/>
  <c r="AT91" i="2"/>
  <c r="AU91" i="2"/>
  <c r="H91" i="2"/>
  <c r="G92" i="2"/>
  <c r="AD92" i="2"/>
  <c r="K92" i="2"/>
  <c r="AD99" i="2"/>
  <c r="AD100" i="2"/>
  <c r="K100" i="2"/>
  <c r="G100" i="2"/>
  <c r="G107" i="2"/>
  <c r="AG107" i="2"/>
  <c r="Y128" i="2"/>
  <c r="I128" i="2"/>
  <c r="AA128" i="2"/>
  <c r="L128" i="2"/>
  <c r="G128" i="2"/>
  <c r="AR133" i="2"/>
  <c r="AS133" i="2"/>
  <c r="Y133" i="2"/>
  <c r="I133" i="2"/>
  <c r="H133" i="2"/>
  <c r="Y136" i="2"/>
  <c r="I136" i="2"/>
  <c r="AV136" i="2"/>
  <c r="AW136" i="2"/>
  <c r="H136" i="2"/>
  <c r="AR144" i="2"/>
  <c r="AS144" i="2"/>
  <c r="AT144" i="2"/>
  <c r="AU144" i="2"/>
  <c r="AD144" i="2"/>
  <c r="AR8" i="2"/>
  <c r="G23" i="2"/>
  <c r="AT32" i="2"/>
  <c r="AU32" i="2"/>
  <c r="G44" i="2"/>
  <c r="AV44" i="2"/>
  <c r="AW44" i="2"/>
  <c r="AA68" i="2"/>
  <c r="H68" i="2"/>
  <c r="G74" i="2"/>
  <c r="AA74" i="2"/>
  <c r="L74" i="2"/>
  <c r="AA86" i="2"/>
  <c r="L86" i="2"/>
  <c r="H94" i="2"/>
  <c r="Z94" i="2"/>
  <c r="AT115" i="2"/>
  <c r="AU115" i="2"/>
  <c r="AV115" i="2"/>
  <c r="AW115" i="2"/>
  <c r="AD139" i="2"/>
  <c r="H139" i="2"/>
  <c r="AD147" i="2"/>
  <c r="AA154" i="2"/>
  <c r="L154" i="2"/>
  <c r="AD154" i="2"/>
  <c r="G154" i="2"/>
  <c r="AV19" i="2"/>
  <c r="AW19" i="2"/>
  <c r="AT19" i="2"/>
  <c r="AU19" i="2"/>
  <c r="AT20" i="2"/>
  <c r="AU20" i="2"/>
  <c r="AT23" i="2"/>
  <c r="AU23" i="2"/>
  <c r="AR25" i="2"/>
  <c r="AS25" i="2"/>
  <c r="G25" i="2"/>
  <c r="AT25" i="2"/>
  <c r="AU25" i="2"/>
  <c r="AT29" i="2"/>
  <c r="AU29" i="2"/>
  <c r="AV34" i="2"/>
  <c r="AW34" i="2"/>
  <c r="G55" i="2"/>
  <c r="AT58" i="2"/>
  <c r="AU58" i="2"/>
  <c r="H66" i="2"/>
  <c r="AA66" i="2"/>
  <c r="L66" i="2"/>
  <c r="Y72" i="2"/>
  <c r="AT74" i="2"/>
  <c r="AU74" i="2"/>
  <c r="AT76" i="2"/>
  <c r="AU76" i="2"/>
  <c r="AA76" i="2"/>
  <c r="L76" i="2"/>
  <c r="F83" i="2"/>
  <c r="AT83" i="2"/>
  <c r="AU83" i="2"/>
  <c r="AT84" i="2"/>
  <c r="AU84" i="2"/>
  <c r="Z91" i="2"/>
  <c r="AA94" i="2"/>
  <c r="L94" i="2"/>
  <c r="AT99" i="2"/>
  <c r="AU99" i="2"/>
  <c r="AT100" i="2"/>
  <c r="AU100" i="2"/>
  <c r="AT105" i="2"/>
  <c r="AU105" i="2"/>
  <c r="G105" i="2"/>
  <c r="T105" i="2"/>
  <c r="Z108" i="2"/>
  <c r="G115" i="2"/>
  <c r="AR123" i="2"/>
  <c r="AS123" i="2"/>
  <c r="Y123" i="2"/>
  <c r="I123" i="2"/>
  <c r="G123" i="2"/>
  <c r="Y126" i="2"/>
  <c r="I126" i="2"/>
  <c r="G126" i="2"/>
  <c r="AD133" i="2"/>
  <c r="F148" i="2"/>
  <c r="Z149" i="2"/>
  <c r="AT17" i="2"/>
  <c r="AV32" i="2"/>
  <c r="AW32" i="2"/>
  <c r="AV132" i="2"/>
  <c r="AW132" i="2"/>
  <c r="AV18" i="2"/>
  <c r="AW18" i="2"/>
  <c r="T113" i="2"/>
  <c r="G132" i="2"/>
  <c r="F146" i="2"/>
  <c r="AR43" i="2"/>
  <c r="AS43" i="2"/>
  <c r="AR59" i="2"/>
  <c r="AS59" i="2"/>
  <c r="Y73" i="2"/>
  <c r="AT73" i="2"/>
  <c r="AU73" i="2"/>
  <c r="AD75" i="2"/>
  <c r="AA77" i="2"/>
  <c r="L77" i="2"/>
  <c r="H77" i="2"/>
  <c r="AA98" i="2"/>
  <c r="L98" i="2"/>
  <c r="H98" i="2"/>
  <c r="F98" i="2"/>
  <c r="AT109" i="2"/>
  <c r="AU109" i="2"/>
  <c r="Y109" i="2"/>
  <c r="I109" i="2"/>
  <c r="F109" i="2"/>
  <c r="AV109" i="2"/>
  <c r="AW109" i="2"/>
  <c r="Y140" i="2"/>
  <c r="I140" i="2"/>
  <c r="AV140" i="2"/>
  <c r="AW140" i="2"/>
  <c r="H140" i="2"/>
  <c r="AT140" i="2"/>
  <c r="AU140" i="2"/>
  <c r="AA143" i="2"/>
  <c r="L143" i="2"/>
  <c r="H143" i="2"/>
  <c r="AT143" i="2"/>
  <c r="AU143" i="2"/>
  <c r="G143" i="2"/>
  <c r="AR9" i="2"/>
  <c r="AR7" i="2"/>
  <c r="AT8" i="2"/>
  <c r="AU8" i="2"/>
  <c r="AV11" i="2"/>
  <c r="AV15" i="2"/>
  <c r="G26" i="2"/>
  <c r="AV26" i="2"/>
  <c r="AW26" i="2"/>
  <c r="AT27" i="2"/>
  <c r="AU27" i="2"/>
  <c r="AV31" i="2"/>
  <c r="AW31" i="2"/>
  <c r="AV39" i="2"/>
  <c r="AW39" i="2"/>
  <c r="AT41" i="2"/>
  <c r="AU41" i="2"/>
  <c r="AV52" i="2"/>
  <c r="AW52" i="2"/>
  <c r="G56" i="2"/>
  <c r="AR58" i="2"/>
  <c r="AS58" i="2"/>
  <c r="G64" i="2"/>
  <c r="Y64" i="2"/>
  <c r="I64" i="2"/>
  <c r="AD66" i="2"/>
  <c r="H76" i="2"/>
  <c r="H78" i="2"/>
  <c r="F91" i="2"/>
  <c r="AD91" i="2"/>
  <c r="F102" i="2"/>
  <c r="G106" i="2"/>
  <c r="AT119" i="2"/>
  <c r="AU119" i="2"/>
  <c r="G119" i="2"/>
  <c r="AA119" i="2"/>
  <c r="L119" i="2"/>
  <c r="AR119" i="2"/>
  <c r="AS119" i="2"/>
  <c r="G134" i="2"/>
  <c r="AR26" i="2"/>
  <c r="AS26" i="2"/>
  <c r="AR10" i="2"/>
  <c r="AR17" i="2"/>
  <c r="AR24" i="2"/>
  <c r="AS24" i="2"/>
  <c r="G27" i="2"/>
  <c r="AV27" i="2"/>
  <c r="AW27" i="2"/>
  <c r="AR34" i="2"/>
  <c r="AS34" i="2"/>
  <c r="G38" i="2"/>
  <c r="G52" i="2"/>
  <c r="AT56" i="2"/>
  <c r="AU56" i="2"/>
  <c r="AT57" i="2"/>
  <c r="AU57" i="2"/>
  <c r="AR57" i="2"/>
  <c r="AS57" i="2"/>
  <c r="AV60" i="2"/>
  <c r="AW60" i="2"/>
  <c r="G60" i="2"/>
  <c r="AT60" i="2"/>
  <c r="AU60" i="2"/>
  <c r="AD63" i="2"/>
  <c r="G63" i="2"/>
  <c r="AR66" i="2"/>
  <c r="AS66" i="2"/>
  <c r="H73" i="2"/>
  <c r="AD73" i="2"/>
  <c r="F75" i="2"/>
  <c r="Z75" i="2"/>
  <c r="AD76" i="2"/>
  <c r="F77" i="2"/>
  <c r="Z77" i="2"/>
  <c r="AA78" i="2"/>
  <c r="L78" i="2"/>
  <c r="AT78" i="2"/>
  <c r="AU78" i="2"/>
  <c r="AT82" i="2"/>
  <c r="AU82" i="2"/>
  <c r="G82" i="2"/>
  <c r="F93" i="2"/>
  <c r="AA93" i="2"/>
  <c r="L93" i="2"/>
  <c r="H93" i="2"/>
  <c r="Z98" i="2"/>
  <c r="G109" i="2"/>
  <c r="Z109" i="2"/>
  <c r="AA134" i="2"/>
  <c r="L134" i="2"/>
  <c r="AT134" i="2"/>
  <c r="AU134" i="2"/>
  <c r="H134" i="2"/>
  <c r="AT138" i="2"/>
  <c r="AU138" i="2"/>
  <c r="AA138" i="2"/>
  <c r="L138" i="2"/>
  <c r="H138" i="2"/>
  <c r="G138" i="2"/>
  <c r="AA140" i="2"/>
  <c r="L140" i="2"/>
  <c r="Y143" i="2"/>
  <c r="I143" i="2"/>
  <c r="AR14" i="2"/>
  <c r="AR49" i="2"/>
  <c r="AS49" i="2"/>
  <c r="AT50" i="2"/>
  <c r="AU50" i="2"/>
  <c r="AV56" i="2"/>
  <c r="AW56" i="2"/>
  <c r="AT64" i="2"/>
  <c r="AU64" i="2"/>
  <c r="AT65" i="2"/>
  <c r="AU65" i="2"/>
  <c r="H65" i="2"/>
  <c r="AR65" i="2"/>
  <c r="AS65" i="2"/>
  <c r="AV68" i="2"/>
  <c r="AW68" i="2"/>
  <c r="Y68" i="2"/>
  <c r="G68" i="2"/>
  <c r="AT68" i="2"/>
  <c r="AU68" i="2"/>
  <c r="AD71" i="2"/>
  <c r="G71" i="2"/>
  <c r="AR73" i="2"/>
  <c r="AS73" i="2"/>
  <c r="H75" i="2"/>
  <c r="AT75" i="2"/>
  <c r="AU75" i="2"/>
  <c r="G77" i="2"/>
  <c r="F78" i="2"/>
  <c r="AG78" i="2"/>
  <c r="F82" i="2"/>
  <c r="G98" i="2"/>
  <c r="AT98" i="2"/>
  <c r="AU98" i="2"/>
  <c r="AT102" i="2"/>
  <c r="AU102" i="2"/>
  <c r="H102" i="2"/>
  <c r="G102" i="2"/>
  <c r="AA102" i="2"/>
  <c r="L102" i="2"/>
  <c r="T109" i="2"/>
  <c r="G140" i="2"/>
  <c r="AV143" i="2"/>
  <c r="AW143" i="2"/>
  <c r="G84" i="2"/>
  <c r="Z85" i="2"/>
  <c r="G85" i="2"/>
  <c r="G86" i="2"/>
  <c r="AG86" i="2"/>
  <c r="Z90" i="2"/>
  <c r="H90" i="2"/>
  <c r="AT90" i="2"/>
  <c r="AU90" i="2"/>
  <c r="H92" i="2"/>
  <c r="AA92" i="2"/>
  <c r="L92" i="2"/>
  <c r="AT94" i="2"/>
  <c r="AU94" i="2"/>
  <c r="G94" i="2"/>
  <c r="AG94" i="2"/>
  <c r="F99" i="2"/>
  <c r="AA100" i="2"/>
  <c r="L100" i="2"/>
  <c r="H100" i="2"/>
  <c r="F101" i="2"/>
  <c r="G104" i="2"/>
  <c r="AV111" i="2"/>
  <c r="AW111" i="2"/>
  <c r="Z111" i="2"/>
  <c r="AT126" i="2"/>
  <c r="AU126" i="2"/>
  <c r="H126" i="2"/>
  <c r="AA126" i="2"/>
  <c r="L126" i="2"/>
  <c r="AV126" i="2"/>
  <c r="AW126" i="2"/>
  <c r="G130" i="2"/>
  <c r="H142" i="2"/>
  <c r="AR145" i="2"/>
  <c r="AS145" i="2"/>
  <c r="AT145" i="2"/>
  <c r="AU145" i="2"/>
  <c r="G145" i="2"/>
  <c r="G149" i="2"/>
  <c r="AA84" i="2"/>
  <c r="L84" i="2"/>
  <c r="H84" i="2"/>
  <c r="Z86" i="2"/>
  <c r="H86" i="2"/>
  <c r="AT86" i="2"/>
  <c r="AU86" i="2"/>
  <c r="AT92" i="2"/>
  <c r="AU92" i="2"/>
  <c r="Z99" i="2"/>
  <c r="H99" i="2"/>
  <c r="Z101" i="2"/>
  <c r="G101" i="2"/>
  <c r="Z104" i="2"/>
  <c r="AT107" i="2"/>
  <c r="AU107" i="2"/>
  <c r="Y107" i="2"/>
  <c r="I107" i="2"/>
  <c r="T107" i="2"/>
  <c r="AT130" i="2"/>
  <c r="AU130" i="2"/>
  <c r="H130" i="2"/>
  <c r="AA130" i="2"/>
  <c r="L130" i="2"/>
  <c r="AV130" i="2"/>
  <c r="AW130" i="2"/>
  <c r="AA142" i="2"/>
  <c r="L142" i="2"/>
  <c r="AV142" i="2"/>
  <c r="AW142" i="2"/>
  <c r="G142" i="2"/>
  <c r="AA149" i="2"/>
  <c r="L149" i="2"/>
  <c r="F149" i="2"/>
  <c r="AT149" i="2"/>
  <c r="AU149" i="2"/>
  <c r="H149" i="2"/>
  <c r="AT136" i="2"/>
  <c r="AU136" i="2"/>
  <c r="AT153" i="2"/>
  <c r="AU153" i="2"/>
  <c r="AT154" i="2"/>
  <c r="AU154" i="2"/>
  <c r="T156" i="2"/>
  <c r="G114" i="2"/>
  <c r="Y115" i="2"/>
  <c r="I115" i="2"/>
  <c r="AA120" i="2"/>
  <c r="L120" i="2"/>
  <c r="G122" i="2"/>
  <c r="AT128" i="2"/>
  <c r="AU128" i="2"/>
  <c r="AT132" i="2"/>
  <c r="AU132" i="2"/>
  <c r="G136" i="2"/>
  <c r="AA136" i="2"/>
  <c r="L136" i="2"/>
  <c r="H137" i="2"/>
  <c r="H153" i="2"/>
  <c r="H154" i="2"/>
  <c r="H156" i="2"/>
  <c r="F45" i="2"/>
  <c r="AV45" i="2"/>
  <c r="AW45" i="2"/>
  <c r="G45" i="2"/>
  <c r="AT45" i="2"/>
  <c r="AU45" i="2"/>
  <c r="AR45" i="2"/>
  <c r="AS45" i="2"/>
  <c r="F47" i="2"/>
  <c r="AT47" i="2"/>
  <c r="AU47" i="2"/>
  <c r="AR47" i="2"/>
  <c r="AS47" i="2"/>
  <c r="AV81" i="2"/>
  <c r="AW81" i="2"/>
  <c r="AR81" i="2"/>
  <c r="AS81" i="2"/>
  <c r="Y81" i="2"/>
  <c r="I81" i="2"/>
  <c r="AT81" i="2"/>
  <c r="AU81" i="2"/>
  <c r="T81" i="2"/>
  <c r="Z81" i="2"/>
  <c r="H81" i="2"/>
  <c r="AA81" i="2"/>
  <c r="L81" i="2"/>
  <c r="F81" i="2"/>
  <c r="AV97" i="2"/>
  <c r="AW97" i="2"/>
  <c r="AR97" i="2"/>
  <c r="AS97" i="2"/>
  <c r="Y97" i="2"/>
  <c r="I97" i="2"/>
  <c r="AT97" i="2"/>
  <c r="AU97" i="2"/>
  <c r="T97" i="2"/>
  <c r="Z97" i="2"/>
  <c r="H97" i="2"/>
  <c r="AA97" i="2"/>
  <c r="L97" i="2"/>
  <c r="F97" i="2"/>
  <c r="T118" i="2"/>
  <c r="Z118" i="2"/>
  <c r="F118" i="2"/>
  <c r="AD118" i="2"/>
  <c r="H118" i="2"/>
  <c r="AT118" i="2"/>
  <c r="AU118" i="2"/>
  <c r="AA118" i="2"/>
  <c r="L118" i="2"/>
  <c r="AV118" i="2"/>
  <c r="AW118" i="2"/>
  <c r="Y118" i="2"/>
  <c r="I118" i="2"/>
  <c r="G118" i="2"/>
  <c r="AR118" i="2"/>
  <c r="AS118" i="2"/>
  <c r="AV79" i="2"/>
  <c r="AW79" i="2"/>
  <c r="AR79" i="2"/>
  <c r="AS79" i="2"/>
  <c r="Y79" i="2"/>
  <c r="I79" i="2"/>
  <c r="AA79" i="2"/>
  <c r="L79" i="2"/>
  <c r="G79" i="2"/>
  <c r="Z79" i="2"/>
  <c r="H79" i="2"/>
  <c r="AD79" i="2"/>
  <c r="K79" i="2"/>
  <c r="AT79" i="2"/>
  <c r="AU79" i="2"/>
  <c r="AD81" i="2"/>
  <c r="AD97" i="2"/>
  <c r="F46" i="2"/>
  <c r="AT46" i="2"/>
  <c r="AU46" i="2"/>
  <c r="AR46" i="2"/>
  <c r="AS46" i="2"/>
  <c r="AV46" i="2"/>
  <c r="AW46" i="2"/>
  <c r="AV87" i="2"/>
  <c r="AW87" i="2"/>
  <c r="AR87" i="2"/>
  <c r="AS87" i="2"/>
  <c r="Y87" i="2"/>
  <c r="I87" i="2"/>
  <c r="AA87" i="2"/>
  <c r="L87" i="2"/>
  <c r="G87" i="2"/>
  <c r="Z87" i="2"/>
  <c r="H87" i="2"/>
  <c r="AD87" i="2"/>
  <c r="AT87" i="2"/>
  <c r="AU87" i="2"/>
  <c r="AV103" i="2"/>
  <c r="AW103" i="2"/>
  <c r="AR103" i="2"/>
  <c r="AS103" i="2"/>
  <c r="Y103" i="2"/>
  <c r="I103" i="2"/>
  <c r="AA103" i="2"/>
  <c r="L103" i="2"/>
  <c r="G103" i="2"/>
  <c r="Z103" i="2"/>
  <c r="H103" i="2"/>
  <c r="AD103" i="2"/>
  <c r="AT103" i="2"/>
  <c r="AU103" i="2"/>
  <c r="AD110" i="2"/>
  <c r="H110" i="2"/>
  <c r="AT110" i="2"/>
  <c r="AU110" i="2"/>
  <c r="T110" i="2"/>
  <c r="Y110" i="2"/>
  <c r="I110" i="2"/>
  <c r="F110" i="2"/>
  <c r="AA110" i="2"/>
  <c r="L110" i="2"/>
  <c r="AR110" i="2"/>
  <c r="AS110" i="2"/>
  <c r="Z110" i="2"/>
  <c r="G110" i="2"/>
  <c r="AV12" i="2"/>
  <c r="AV13" i="2"/>
  <c r="AT14" i="2"/>
  <c r="AV20" i="2"/>
  <c r="AW20" i="2"/>
  <c r="F21" i="2"/>
  <c r="AN21" i="2"/>
  <c r="AV21" i="2"/>
  <c r="AW21" i="2"/>
  <c r="F22" i="2"/>
  <c r="AN22" i="2"/>
  <c r="AT22" i="2"/>
  <c r="AU22" i="2"/>
  <c r="F28" i="2"/>
  <c r="AN28" i="2"/>
  <c r="AV28" i="2"/>
  <c r="AW28" i="2"/>
  <c r="G28" i="2"/>
  <c r="F29" i="2"/>
  <c r="AN29" i="2"/>
  <c r="AV29" i="2"/>
  <c r="AW29" i="2"/>
  <c r="F30" i="2"/>
  <c r="AN30" i="2"/>
  <c r="AT30" i="2"/>
  <c r="AU30" i="2"/>
  <c r="AV30" i="2"/>
  <c r="AW30" i="2"/>
  <c r="F33" i="2"/>
  <c r="AV33" i="2"/>
  <c r="AW33" i="2"/>
  <c r="G33" i="2"/>
  <c r="F35" i="2"/>
  <c r="AT35" i="2"/>
  <c r="AU35" i="2"/>
  <c r="AV35" i="2"/>
  <c r="AW35" i="2"/>
  <c r="G35" i="2"/>
  <c r="F37" i="2"/>
  <c r="AV37" i="2"/>
  <c r="AW37" i="2"/>
  <c r="G37" i="2"/>
  <c r="AT37" i="2"/>
  <c r="AU37" i="2"/>
  <c r="F38" i="2"/>
  <c r="AT38" i="2"/>
  <c r="AU38" i="2"/>
  <c r="F39" i="2"/>
  <c r="AG39" i="2"/>
  <c r="AT39" i="2"/>
  <c r="AU39" i="2"/>
  <c r="AR39" i="2"/>
  <c r="AS39" i="2"/>
  <c r="F42" i="2"/>
  <c r="G42" i="2"/>
  <c r="G46" i="2"/>
  <c r="G47" i="2"/>
  <c r="AV47" i="2"/>
  <c r="AW47" i="2"/>
  <c r="AV80" i="2"/>
  <c r="AW80" i="2"/>
  <c r="AR80" i="2"/>
  <c r="AS80" i="2"/>
  <c r="Y80" i="2"/>
  <c r="I80" i="2"/>
  <c r="Z80" i="2"/>
  <c r="F80" i="2"/>
  <c r="AG80" i="2"/>
  <c r="AA80" i="2"/>
  <c r="L80" i="2"/>
  <c r="H80" i="2"/>
  <c r="AD80" i="2"/>
  <c r="AT80" i="2"/>
  <c r="AU80" i="2"/>
  <c r="G81" i="2"/>
  <c r="F87" i="2"/>
  <c r="AV96" i="2"/>
  <c r="AW96" i="2"/>
  <c r="AR96" i="2"/>
  <c r="AS96" i="2"/>
  <c r="Y96" i="2"/>
  <c r="I96" i="2"/>
  <c r="Z96" i="2"/>
  <c r="F96" i="2"/>
  <c r="AG96" i="2"/>
  <c r="AA96" i="2"/>
  <c r="L96" i="2"/>
  <c r="H96" i="2"/>
  <c r="AD96" i="2"/>
  <c r="AT96" i="2"/>
  <c r="AU96" i="2"/>
  <c r="G97" i="2"/>
  <c r="F103" i="2"/>
  <c r="AV14" i="2"/>
  <c r="G21" i="2"/>
  <c r="G22" i="2"/>
  <c r="G29" i="2"/>
  <c r="G30" i="2"/>
  <c r="AR33" i="2"/>
  <c r="AS33" i="2"/>
  <c r="AR37" i="2"/>
  <c r="AS37" i="2"/>
  <c r="AR38" i="2"/>
  <c r="AS38" i="2"/>
  <c r="AR42" i="2"/>
  <c r="AS42" i="2"/>
  <c r="AV89" i="2"/>
  <c r="AW89" i="2"/>
  <c r="AR89" i="2"/>
  <c r="AS89" i="2"/>
  <c r="Y89" i="2"/>
  <c r="I89" i="2"/>
  <c r="AT89" i="2"/>
  <c r="AU89" i="2"/>
  <c r="T89" i="2"/>
  <c r="Z89" i="2"/>
  <c r="H89" i="2"/>
  <c r="AA89" i="2"/>
  <c r="L89" i="2"/>
  <c r="F89" i="2"/>
  <c r="AV95" i="2"/>
  <c r="AW95" i="2"/>
  <c r="AR95" i="2"/>
  <c r="AS95" i="2"/>
  <c r="Y95" i="2"/>
  <c r="I95" i="2"/>
  <c r="AA95" i="2"/>
  <c r="L95" i="2"/>
  <c r="G95" i="2"/>
  <c r="Z95" i="2"/>
  <c r="H95" i="2"/>
  <c r="AD95" i="2"/>
  <c r="AT95" i="2"/>
  <c r="AU95" i="2"/>
  <c r="AV110" i="2"/>
  <c r="AW110" i="2"/>
  <c r="T121" i="2"/>
  <c r="Z121" i="2"/>
  <c r="F121" i="2"/>
  <c r="AD121" i="2"/>
  <c r="H121" i="2"/>
  <c r="AR121" i="2"/>
  <c r="AS121" i="2"/>
  <c r="Y121" i="2"/>
  <c r="I121" i="2"/>
  <c r="G121" i="2"/>
  <c r="AV121" i="2"/>
  <c r="AW121" i="2"/>
  <c r="AA121" i="2"/>
  <c r="L121" i="2"/>
  <c r="AT121" i="2"/>
  <c r="AU121" i="2"/>
  <c r="AV7" i="2"/>
  <c r="AV8" i="2"/>
  <c r="AT10" i="2"/>
  <c r="AR12" i="2"/>
  <c r="AR13" i="2"/>
  <c r="AV16" i="2"/>
  <c r="AV17" i="2"/>
  <c r="AT18" i="2"/>
  <c r="AU18" i="2"/>
  <c r="AR20" i="2"/>
  <c r="AS20" i="2"/>
  <c r="AR21" i="2"/>
  <c r="AS21" i="2"/>
  <c r="F24" i="2"/>
  <c r="AN24" i="2"/>
  <c r="AV24" i="2"/>
  <c r="AW24" i="2"/>
  <c r="G24" i="2"/>
  <c r="F25" i="2"/>
  <c r="AV25" i="2"/>
  <c r="AW25" i="2"/>
  <c r="F26" i="2"/>
  <c r="AN26" i="2"/>
  <c r="AT26" i="2"/>
  <c r="AU26" i="2"/>
  <c r="AR28" i="2"/>
  <c r="AS28" i="2"/>
  <c r="AR29" i="2"/>
  <c r="AS29" i="2"/>
  <c r="F31" i="2"/>
  <c r="AN31" i="2"/>
  <c r="AT31" i="2"/>
  <c r="AU31" i="2"/>
  <c r="AR31" i="2"/>
  <c r="AS31" i="2"/>
  <c r="AT33" i="2"/>
  <c r="AU33" i="2"/>
  <c r="F34" i="2"/>
  <c r="G34" i="2"/>
  <c r="AR35" i="2"/>
  <c r="AS35" i="2"/>
  <c r="AV38" i="2"/>
  <c r="AW38" i="2"/>
  <c r="F41" i="2"/>
  <c r="AV41" i="2"/>
  <c r="AW41" i="2"/>
  <c r="G41" i="2"/>
  <c r="AT42" i="2"/>
  <c r="AU42" i="2"/>
  <c r="F53" i="2"/>
  <c r="AV53" i="2"/>
  <c r="AW53" i="2"/>
  <c r="G53" i="2"/>
  <c r="AT53" i="2"/>
  <c r="AU53" i="2"/>
  <c r="AR53" i="2"/>
  <c r="AS53" i="2"/>
  <c r="F54" i="2"/>
  <c r="AG54" i="2"/>
  <c r="AT54" i="2"/>
  <c r="AU54" i="2"/>
  <c r="AR54" i="2"/>
  <c r="AS54" i="2"/>
  <c r="AV54" i="2"/>
  <c r="AW54" i="2"/>
  <c r="F55" i="2"/>
  <c r="AT55" i="2"/>
  <c r="AU55" i="2"/>
  <c r="AR55" i="2"/>
  <c r="AS55" i="2"/>
  <c r="Z61" i="2"/>
  <c r="F61" i="2"/>
  <c r="AV61" i="2"/>
  <c r="AW61" i="2"/>
  <c r="AA61" i="2"/>
  <c r="L61" i="2"/>
  <c r="G61" i="2"/>
  <c r="AT61" i="2"/>
  <c r="AU61" i="2"/>
  <c r="AD61" i="2"/>
  <c r="Y61" i="2"/>
  <c r="AR61" i="2"/>
  <c r="AS61" i="2"/>
  <c r="H61" i="2"/>
  <c r="Z62" i="2"/>
  <c r="F62" i="2"/>
  <c r="Y62" i="2"/>
  <c r="AT62" i="2"/>
  <c r="AU62" i="2"/>
  <c r="AD62" i="2"/>
  <c r="AR62" i="2"/>
  <c r="AS62" i="2"/>
  <c r="H62" i="2"/>
  <c r="AA62" i="2"/>
  <c r="AV62" i="2"/>
  <c r="AW62" i="2"/>
  <c r="Z63" i="2"/>
  <c r="F63" i="2"/>
  <c r="AT63" i="2"/>
  <c r="AU63" i="2"/>
  <c r="AR63" i="2"/>
  <c r="AS63" i="2"/>
  <c r="AA63" i="2"/>
  <c r="Y63" i="2"/>
  <c r="I63" i="2"/>
  <c r="H63" i="2"/>
  <c r="Z69" i="2"/>
  <c r="F69" i="2"/>
  <c r="AV69" i="2"/>
  <c r="AW69" i="2"/>
  <c r="AA69" i="2"/>
  <c r="L69" i="2"/>
  <c r="G69" i="2"/>
  <c r="AT69" i="2"/>
  <c r="AU69" i="2"/>
  <c r="AD69" i="2"/>
  <c r="AR69" i="2"/>
  <c r="AS69" i="2"/>
  <c r="Y69" i="2"/>
  <c r="H69" i="2"/>
  <c r="Z70" i="2"/>
  <c r="F70" i="2"/>
  <c r="AG70" i="2"/>
  <c r="Y70" i="2"/>
  <c r="AT70" i="2"/>
  <c r="AU70" i="2"/>
  <c r="AD70" i="2"/>
  <c r="AA70" i="2"/>
  <c r="H70" i="2"/>
  <c r="AR70" i="2"/>
  <c r="AS70" i="2"/>
  <c r="AV70" i="2"/>
  <c r="AW70" i="2"/>
  <c r="Z71" i="2"/>
  <c r="F71" i="2"/>
  <c r="AG71" i="2"/>
  <c r="AT71" i="2"/>
  <c r="AU71" i="2"/>
  <c r="AR71" i="2"/>
  <c r="AS71" i="2"/>
  <c r="AA71" i="2"/>
  <c r="H71" i="2"/>
  <c r="Y71" i="2"/>
  <c r="F79" i="2"/>
  <c r="AG79" i="2"/>
  <c r="T80" i="2"/>
  <c r="AV88" i="2"/>
  <c r="AW88" i="2"/>
  <c r="AR88" i="2"/>
  <c r="AS88" i="2"/>
  <c r="Y88" i="2"/>
  <c r="I88" i="2"/>
  <c r="Z88" i="2"/>
  <c r="F88" i="2"/>
  <c r="AG88" i="2"/>
  <c r="AA88" i="2"/>
  <c r="L88" i="2"/>
  <c r="H88" i="2"/>
  <c r="AD88" i="2"/>
  <c r="K88" i="2"/>
  <c r="AT88" i="2"/>
  <c r="AU88" i="2"/>
  <c r="G89" i="2"/>
  <c r="F95" i="2"/>
  <c r="T96" i="2"/>
  <c r="F50" i="2"/>
  <c r="AV50" i="2"/>
  <c r="AW50" i="2"/>
  <c r="F58" i="2"/>
  <c r="AV58" i="2"/>
  <c r="AW58" i="2"/>
  <c r="Z66" i="2"/>
  <c r="F66" i="2"/>
  <c r="Y66" i="2"/>
  <c r="I66" i="2"/>
  <c r="AV66" i="2"/>
  <c r="AW66" i="2"/>
  <c r="AV150" i="2"/>
  <c r="AW150" i="2"/>
  <c r="AR150" i="2"/>
  <c r="AS150" i="2"/>
  <c r="Y150" i="2"/>
  <c r="I150" i="2"/>
  <c r="AA150" i="2"/>
  <c r="L150" i="2"/>
  <c r="G150" i="2"/>
  <c r="Z150" i="2"/>
  <c r="H150" i="2"/>
  <c r="F150" i="2"/>
  <c r="AT150" i="2"/>
  <c r="AU150" i="2"/>
  <c r="AD150" i="2"/>
  <c r="F43" i="2"/>
  <c r="AT43" i="2"/>
  <c r="AU43" i="2"/>
  <c r="F49" i="2"/>
  <c r="AV49" i="2"/>
  <c r="AW49" i="2"/>
  <c r="G49" i="2"/>
  <c r="F51" i="2"/>
  <c r="AT51" i="2"/>
  <c r="AU51" i="2"/>
  <c r="F57" i="2"/>
  <c r="AV57" i="2"/>
  <c r="AW57" i="2"/>
  <c r="G57" i="2"/>
  <c r="F59" i="2"/>
  <c r="AT59" i="2"/>
  <c r="AU59" i="2"/>
  <c r="Z65" i="2"/>
  <c r="F65" i="2"/>
  <c r="AV65" i="2"/>
  <c r="AW65" i="2"/>
  <c r="AA65" i="2"/>
  <c r="L65" i="2"/>
  <c r="G65" i="2"/>
  <c r="Z67" i="2"/>
  <c r="F67" i="2"/>
  <c r="AT67" i="2"/>
  <c r="AU67" i="2"/>
  <c r="AD67" i="2"/>
  <c r="K67" i="2"/>
  <c r="Z73" i="2"/>
  <c r="F73" i="2"/>
  <c r="AV73" i="2"/>
  <c r="AW73" i="2"/>
  <c r="AA73" i="2"/>
  <c r="G73" i="2"/>
  <c r="AD104" i="2"/>
  <c r="AT104" i="2"/>
  <c r="AU104" i="2"/>
  <c r="T104" i="2"/>
  <c r="Y104" i="2"/>
  <c r="I104" i="2"/>
  <c r="F104" i="2"/>
  <c r="AR104" i="2"/>
  <c r="AS104" i="2"/>
  <c r="H104" i="2"/>
  <c r="AR11" i="2"/>
  <c r="AR15" i="2"/>
  <c r="AR19" i="2"/>
  <c r="AS19" i="2"/>
  <c r="F23" i="2"/>
  <c r="AR23" i="2"/>
  <c r="AS23" i="2"/>
  <c r="F27" i="2"/>
  <c r="AR27" i="2"/>
  <c r="AS27" i="2"/>
  <c r="G43" i="2"/>
  <c r="AV43" i="2"/>
  <c r="AW43" i="2"/>
  <c r="G50" i="2"/>
  <c r="G51" i="2"/>
  <c r="AV51" i="2"/>
  <c r="AW51" i="2"/>
  <c r="G58" i="2"/>
  <c r="G59" i="2"/>
  <c r="AV59" i="2"/>
  <c r="AW59" i="2"/>
  <c r="G66" i="2"/>
  <c r="G67" i="2"/>
  <c r="AV67" i="2"/>
  <c r="AW67" i="2"/>
  <c r="AD114" i="2"/>
  <c r="H114" i="2"/>
  <c r="AT114" i="2"/>
  <c r="AU114" i="2"/>
  <c r="T114" i="2"/>
  <c r="Y114" i="2"/>
  <c r="I114" i="2"/>
  <c r="F114" i="2"/>
  <c r="AA114" i="2"/>
  <c r="L114" i="2"/>
  <c r="AR114" i="2"/>
  <c r="AS114" i="2"/>
  <c r="Z114" i="2"/>
  <c r="T120" i="2"/>
  <c r="Z120" i="2"/>
  <c r="F120" i="2"/>
  <c r="AD120" i="2"/>
  <c r="H120" i="2"/>
  <c r="AT120" i="2"/>
  <c r="AU120" i="2"/>
  <c r="Y120" i="2"/>
  <c r="I120" i="2"/>
  <c r="G120" i="2"/>
  <c r="AR120" i="2"/>
  <c r="AS120" i="2"/>
  <c r="T127" i="2"/>
  <c r="Z127" i="2"/>
  <c r="F127" i="2"/>
  <c r="AT127" i="2"/>
  <c r="AU127" i="2"/>
  <c r="AV127" i="2"/>
  <c r="AW127" i="2"/>
  <c r="AA127" i="2"/>
  <c r="L127" i="2"/>
  <c r="G127" i="2"/>
  <c r="AR127" i="2"/>
  <c r="AS127" i="2"/>
  <c r="Y127" i="2"/>
  <c r="I127" i="2"/>
  <c r="H127" i="2"/>
  <c r="F32" i="2"/>
  <c r="AG32" i="2"/>
  <c r="AR32" i="2"/>
  <c r="AS32" i="2"/>
  <c r="F36" i="2"/>
  <c r="AR36" i="2"/>
  <c r="AS36" i="2"/>
  <c r="F40" i="2"/>
  <c r="AR40" i="2"/>
  <c r="AS40" i="2"/>
  <c r="F44" i="2"/>
  <c r="AR44" i="2"/>
  <c r="AS44" i="2"/>
  <c r="F48" i="2"/>
  <c r="AR48" i="2"/>
  <c r="AS48" i="2"/>
  <c r="F52" i="2"/>
  <c r="AG52" i="2"/>
  <c r="AR52" i="2"/>
  <c r="AS52" i="2"/>
  <c r="F56" i="2"/>
  <c r="AR56" i="2"/>
  <c r="AS56" i="2"/>
  <c r="F60" i="2"/>
  <c r="AR60" i="2"/>
  <c r="AS60" i="2"/>
  <c r="Z64" i="2"/>
  <c r="F64" i="2"/>
  <c r="AD64" i="2"/>
  <c r="AR64" i="2"/>
  <c r="AS64" i="2"/>
  <c r="Z68" i="2"/>
  <c r="F68" i="2"/>
  <c r="AD68" i="2"/>
  <c r="AR68" i="2"/>
  <c r="AS68" i="2"/>
  <c r="Z72" i="2"/>
  <c r="F72" i="2"/>
  <c r="AD72" i="2"/>
  <c r="AR72" i="2"/>
  <c r="AS72" i="2"/>
  <c r="AV75" i="2"/>
  <c r="AW75" i="2"/>
  <c r="AR75" i="2"/>
  <c r="AS75" i="2"/>
  <c r="Y75" i="2"/>
  <c r="I75" i="2"/>
  <c r="AA75" i="2"/>
  <c r="L75" i="2"/>
  <c r="G75" i="2"/>
  <c r="AV76" i="2"/>
  <c r="AW76" i="2"/>
  <c r="AR76" i="2"/>
  <c r="AS76" i="2"/>
  <c r="Y76" i="2"/>
  <c r="I76" i="2"/>
  <c r="Z76" i="2"/>
  <c r="F76" i="2"/>
  <c r="AV77" i="2"/>
  <c r="AW77" i="2"/>
  <c r="AR77" i="2"/>
  <c r="AS77" i="2"/>
  <c r="Y77" i="2"/>
  <c r="I77" i="2"/>
  <c r="AT77" i="2"/>
  <c r="AU77" i="2"/>
  <c r="T77" i="2"/>
  <c r="AD77" i="2"/>
  <c r="AV83" i="2"/>
  <c r="AW83" i="2"/>
  <c r="AR83" i="2"/>
  <c r="AS83" i="2"/>
  <c r="Y83" i="2"/>
  <c r="I83" i="2"/>
  <c r="AA83" i="2"/>
  <c r="L83" i="2"/>
  <c r="G83" i="2"/>
  <c r="T83" i="2"/>
  <c r="AV84" i="2"/>
  <c r="AW84" i="2"/>
  <c r="AR84" i="2"/>
  <c r="AS84" i="2"/>
  <c r="Y84" i="2"/>
  <c r="I84" i="2"/>
  <c r="Z84" i="2"/>
  <c r="F84" i="2"/>
  <c r="AV85" i="2"/>
  <c r="AW85" i="2"/>
  <c r="AR85" i="2"/>
  <c r="AS85" i="2"/>
  <c r="Y85" i="2"/>
  <c r="I85" i="2"/>
  <c r="AT85" i="2"/>
  <c r="AU85" i="2"/>
  <c r="AQ85" i="2"/>
  <c r="T85" i="2"/>
  <c r="AD85" i="2"/>
  <c r="AV91" i="2"/>
  <c r="AW91" i="2"/>
  <c r="AR91" i="2"/>
  <c r="AS91" i="2"/>
  <c r="Y91" i="2"/>
  <c r="I91" i="2"/>
  <c r="AA91" i="2"/>
  <c r="L91" i="2"/>
  <c r="G91" i="2"/>
  <c r="AV92" i="2"/>
  <c r="AW92" i="2"/>
  <c r="AR92" i="2"/>
  <c r="AS92" i="2"/>
  <c r="Y92" i="2"/>
  <c r="I92" i="2"/>
  <c r="Z92" i="2"/>
  <c r="F92" i="2"/>
  <c r="AG92" i="2"/>
  <c r="AV93" i="2"/>
  <c r="AW93" i="2"/>
  <c r="AR93" i="2"/>
  <c r="AS93" i="2"/>
  <c r="Y93" i="2"/>
  <c r="I93" i="2"/>
  <c r="AT93" i="2"/>
  <c r="AU93" i="2"/>
  <c r="AQ93" i="2"/>
  <c r="T93" i="2"/>
  <c r="AD93" i="2"/>
  <c r="AV99" i="2"/>
  <c r="AW99" i="2"/>
  <c r="AR99" i="2"/>
  <c r="AS99" i="2"/>
  <c r="Y99" i="2"/>
  <c r="I99" i="2"/>
  <c r="AA99" i="2"/>
  <c r="L99" i="2"/>
  <c r="G99" i="2"/>
  <c r="T99" i="2"/>
  <c r="AV100" i="2"/>
  <c r="AW100" i="2"/>
  <c r="AR100" i="2"/>
  <c r="AS100" i="2"/>
  <c r="Y100" i="2"/>
  <c r="I100" i="2"/>
  <c r="Z100" i="2"/>
  <c r="F100" i="2"/>
  <c r="AV101" i="2"/>
  <c r="AW101" i="2"/>
  <c r="AR101" i="2"/>
  <c r="AS101" i="2"/>
  <c r="Y101" i="2"/>
  <c r="I101" i="2"/>
  <c r="AT101" i="2"/>
  <c r="AU101" i="2"/>
  <c r="T101" i="2"/>
  <c r="AD101" i="2"/>
  <c r="AD106" i="2"/>
  <c r="H106" i="2"/>
  <c r="AT106" i="2"/>
  <c r="AU106" i="2"/>
  <c r="T106" i="2"/>
  <c r="Y106" i="2"/>
  <c r="I106" i="2"/>
  <c r="F106" i="2"/>
  <c r="AA106" i="2"/>
  <c r="L106" i="2"/>
  <c r="AR106" i="2"/>
  <c r="AS106" i="2"/>
  <c r="Z106" i="2"/>
  <c r="AV106" i="2"/>
  <c r="AW106" i="2"/>
  <c r="T124" i="2"/>
  <c r="Z124" i="2"/>
  <c r="F124" i="2"/>
  <c r="AD124" i="2"/>
  <c r="H124" i="2"/>
  <c r="AT124" i="2"/>
  <c r="AU124" i="2"/>
  <c r="Y124" i="2"/>
  <c r="I124" i="2"/>
  <c r="G124" i="2"/>
  <c r="AR124" i="2"/>
  <c r="AS124" i="2"/>
  <c r="AV124" i="2"/>
  <c r="AW124" i="2"/>
  <c r="T125" i="2"/>
  <c r="Z125" i="2"/>
  <c r="AV125" i="2"/>
  <c r="AW125" i="2"/>
  <c r="AA125" i="2"/>
  <c r="L125" i="2"/>
  <c r="F125" i="2"/>
  <c r="AT125" i="2"/>
  <c r="AU125" i="2"/>
  <c r="H125" i="2"/>
  <c r="Y125" i="2"/>
  <c r="I125" i="2"/>
  <c r="G125" i="2"/>
  <c r="AD125" i="2"/>
  <c r="T116" i="2"/>
  <c r="Z116" i="2"/>
  <c r="AD116" i="2"/>
  <c r="H116" i="2"/>
  <c r="F116" i="2"/>
  <c r="AT116" i="2"/>
  <c r="AU116" i="2"/>
  <c r="Y116" i="2"/>
  <c r="I116" i="2"/>
  <c r="G116" i="2"/>
  <c r="AR116" i="2"/>
  <c r="AS116" i="2"/>
  <c r="AV116" i="2"/>
  <c r="AW116" i="2"/>
  <c r="T117" i="2"/>
  <c r="Z117" i="2"/>
  <c r="F117" i="2"/>
  <c r="AD117" i="2"/>
  <c r="H117" i="2"/>
  <c r="AR117" i="2"/>
  <c r="AS117" i="2"/>
  <c r="Y117" i="2"/>
  <c r="I117" i="2"/>
  <c r="G117" i="2"/>
  <c r="AV117" i="2"/>
  <c r="AW117" i="2"/>
  <c r="AA117" i="2"/>
  <c r="L117" i="2"/>
  <c r="AT117" i="2"/>
  <c r="AU117" i="2"/>
  <c r="T122" i="2"/>
  <c r="Z122" i="2"/>
  <c r="F122" i="2"/>
  <c r="AD122" i="2"/>
  <c r="H122" i="2"/>
  <c r="AT122" i="2"/>
  <c r="AU122" i="2"/>
  <c r="AA122" i="2"/>
  <c r="L122" i="2"/>
  <c r="AV122" i="2"/>
  <c r="AW122" i="2"/>
  <c r="Y122" i="2"/>
  <c r="I122" i="2"/>
  <c r="AD108" i="2"/>
  <c r="H108" i="2"/>
  <c r="AT108" i="2"/>
  <c r="AU108" i="2"/>
  <c r="T108" i="2"/>
  <c r="Y108" i="2"/>
  <c r="I108" i="2"/>
  <c r="F108" i="2"/>
  <c r="AV108" i="2"/>
  <c r="AW108" i="2"/>
  <c r="AD112" i="2"/>
  <c r="H112" i="2"/>
  <c r="AT112" i="2"/>
  <c r="AU112" i="2"/>
  <c r="T112" i="2"/>
  <c r="Y112" i="2"/>
  <c r="I112" i="2"/>
  <c r="F112" i="2"/>
  <c r="AV112" i="2"/>
  <c r="AW112" i="2"/>
  <c r="Z129" i="2"/>
  <c r="F129" i="2"/>
  <c r="AV129" i="2"/>
  <c r="AW129" i="2"/>
  <c r="AA129" i="2"/>
  <c r="L129" i="2"/>
  <c r="G129" i="2"/>
  <c r="AT129" i="2"/>
  <c r="AU129" i="2"/>
  <c r="AR129" i="2"/>
  <c r="AS129" i="2"/>
  <c r="Z135" i="2"/>
  <c r="F135" i="2"/>
  <c r="AT135" i="2"/>
  <c r="AU135" i="2"/>
  <c r="AV135" i="2"/>
  <c r="AW135" i="2"/>
  <c r="AA135" i="2"/>
  <c r="L135" i="2"/>
  <c r="G135" i="2"/>
  <c r="AD135" i="2"/>
  <c r="AR135" i="2"/>
  <c r="AS135" i="2"/>
  <c r="Z139" i="2"/>
  <c r="F139" i="2"/>
  <c r="AT139" i="2"/>
  <c r="AU139" i="2"/>
  <c r="AV139" i="2"/>
  <c r="AW139" i="2"/>
  <c r="AA139" i="2"/>
  <c r="L139" i="2"/>
  <c r="G139" i="2"/>
  <c r="Y139" i="2"/>
  <c r="I139" i="2"/>
  <c r="AR139" i="2"/>
  <c r="AS139" i="2"/>
  <c r="AV151" i="2"/>
  <c r="AW151" i="2"/>
  <c r="AR151" i="2"/>
  <c r="AS151" i="2"/>
  <c r="Y151" i="2"/>
  <c r="I151" i="2"/>
  <c r="Z151" i="2"/>
  <c r="F151" i="2"/>
  <c r="AA151" i="2"/>
  <c r="L151" i="2"/>
  <c r="H151" i="2"/>
  <c r="T151" i="2"/>
  <c r="G151" i="2"/>
  <c r="AT151" i="2"/>
  <c r="AU151" i="2"/>
  <c r="AD151" i="2"/>
  <c r="AV74" i="2"/>
  <c r="AW74" i="2"/>
  <c r="AR74" i="2"/>
  <c r="AS74" i="2"/>
  <c r="Y74" i="2"/>
  <c r="I74" i="2"/>
  <c r="AD74" i="2"/>
  <c r="AV78" i="2"/>
  <c r="AW78" i="2"/>
  <c r="AR78" i="2"/>
  <c r="AS78" i="2"/>
  <c r="Y78" i="2"/>
  <c r="I78" i="2"/>
  <c r="AD78" i="2"/>
  <c r="AV82" i="2"/>
  <c r="AW82" i="2"/>
  <c r="AR82" i="2"/>
  <c r="AS82" i="2"/>
  <c r="Y82" i="2"/>
  <c r="I82" i="2"/>
  <c r="AD82" i="2"/>
  <c r="AV86" i="2"/>
  <c r="AW86" i="2"/>
  <c r="AR86" i="2"/>
  <c r="AS86" i="2"/>
  <c r="Y86" i="2"/>
  <c r="I86" i="2"/>
  <c r="AD86" i="2"/>
  <c r="AV90" i="2"/>
  <c r="AW90" i="2"/>
  <c r="AR90" i="2"/>
  <c r="AS90" i="2"/>
  <c r="Y90" i="2"/>
  <c r="I90" i="2"/>
  <c r="AD90" i="2"/>
  <c r="AV94" i="2"/>
  <c r="AW94" i="2"/>
  <c r="AR94" i="2"/>
  <c r="AS94" i="2"/>
  <c r="Y94" i="2"/>
  <c r="I94" i="2"/>
  <c r="AD94" i="2"/>
  <c r="AV98" i="2"/>
  <c r="AW98" i="2"/>
  <c r="AR98" i="2"/>
  <c r="AS98" i="2"/>
  <c r="Y98" i="2"/>
  <c r="I98" i="2"/>
  <c r="AD98" i="2"/>
  <c r="K98" i="2"/>
  <c r="AV102" i="2"/>
  <c r="AW102" i="2"/>
  <c r="AR102" i="2"/>
  <c r="AS102" i="2"/>
  <c r="Y102" i="2"/>
  <c r="I102" i="2"/>
  <c r="AD102" i="2"/>
  <c r="G108" i="2"/>
  <c r="G112" i="2"/>
  <c r="H129" i="2"/>
  <c r="H135" i="2"/>
  <c r="Z137" i="2"/>
  <c r="F137" i="2"/>
  <c r="AV137" i="2"/>
  <c r="AW137" i="2"/>
  <c r="AA137" i="2"/>
  <c r="L137" i="2"/>
  <c r="G137" i="2"/>
  <c r="AT137" i="2"/>
  <c r="AU137" i="2"/>
  <c r="AD137" i="2"/>
  <c r="AR137" i="2"/>
  <c r="AS137" i="2"/>
  <c r="Z141" i="2"/>
  <c r="F141" i="2"/>
  <c r="AR141" i="2"/>
  <c r="AS141" i="2"/>
  <c r="AA141" i="2"/>
  <c r="L141" i="2"/>
  <c r="G141" i="2"/>
  <c r="AV141" i="2"/>
  <c r="AW141" i="2"/>
  <c r="Y141" i="2"/>
  <c r="I141" i="2"/>
  <c r="AT141" i="2"/>
  <c r="AU141" i="2"/>
  <c r="AV152" i="2"/>
  <c r="AW152" i="2"/>
  <c r="AR152" i="2"/>
  <c r="AS152" i="2"/>
  <c r="Y152" i="2"/>
  <c r="I152" i="2"/>
  <c r="AT152" i="2"/>
  <c r="AU152" i="2"/>
  <c r="T152" i="2"/>
  <c r="Z152" i="2"/>
  <c r="H152" i="2"/>
  <c r="AD152" i="2"/>
  <c r="G152" i="2"/>
  <c r="AD105" i="2"/>
  <c r="K105" i="2"/>
  <c r="H105" i="2"/>
  <c r="AA105" i="2"/>
  <c r="L105" i="2"/>
  <c r="AR105" i="2"/>
  <c r="AS105" i="2"/>
  <c r="AD107" i="2"/>
  <c r="H107" i="2"/>
  <c r="AA107" i="2"/>
  <c r="L107" i="2"/>
  <c r="AR107" i="2"/>
  <c r="AS107" i="2"/>
  <c r="AD109" i="2"/>
  <c r="H109" i="2"/>
  <c r="AA109" i="2"/>
  <c r="L109" i="2"/>
  <c r="AR109" i="2"/>
  <c r="AS109" i="2"/>
  <c r="AD111" i="2"/>
  <c r="H111" i="2"/>
  <c r="AA111" i="2"/>
  <c r="L111" i="2"/>
  <c r="AR111" i="2"/>
  <c r="AS111" i="2"/>
  <c r="AD113" i="2"/>
  <c r="H113" i="2"/>
  <c r="AA113" i="2"/>
  <c r="L113" i="2"/>
  <c r="AR113" i="2"/>
  <c r="AS113" i="2"/>
  <c r="AD115" i="2"/>
  <c r="H115" i="2"/>
  <c r="AA115" i="2"/>
  <c r="L115" i="2"/>
  <c r="AR115" i="2"/>
  <c r="AS115" i="2"/>
  <c r="T119" i="2"/>
  <c r="Z119" i="2"/>
  <c r="F119" i="2"/>
  <c r="AD119" i="2"/>
  <c r="H119" i="2"/>
  <c r="AV119" i="2"/>
  <c r="AW119" i="2"/>
  <c r="T123" i="2"/>
  <c r="Z123" i="2"/>
  <c r="F123" i="2"/>
  <c r="AD123" i="2"/>
  <c r="H123" i="2"/>
  <c r="AV123" i="2"/>
  <c r="AW123" i="2"/>
  <c r="Z131" i="2"/>
  <c r="F131" i="2"/>
  <c r="AT131" i="2"/>
  <c r="AU131" i="2"/>
  <c r="AV131" i="2"/>
  <c r="AW131" i="2"/>
  <c r="AA131" i="2"/>
  <c r="L131" i="2"/>
  <c r="G131" i="2"/>
  <c r="Z133" i="2"/>
  <c r="F133" i="2"/>
  <c r="AV133" i="2"/>
  <c r="AW133" i="2"/>
  <c r="AA133" i="2"/>
  <c r="L133" i="2"/>
  <c r="G133" i="2"/>
  <c r="AT133" i="2"/>
  <c r="AU133" i="2"/>
  <c r="Z126" i="2"/>
  <c r="F126" i="2"/>
  <c r="AD126" i="2"/>
  <c r="AR126" i="2"/>
  <c r="AS126" i="2"/>
  <c r="Z130" i="2"/>
  <c r="F130" i="2"/>
  <c r="AD130" i="2"/>
  <c r="AR130" i="2"/>
  <c r="AS130" i="2"/>
  <c r="Z134" i="2"/>
  <c r="F134" i="2"/>
  <c r="AD134" i="2"/>
  <c r="AR134" i="2"/>
  <c r="AS134" i="2"/>
  <c r="Z138" i="2"/>
  <c r="F138" i="2"/>
  <c r="AD138" i="2"/>
  <c r="AR138" i="2"/>
  <c r="AS138" i="2"/>
  <c r="Z142" i="2"/>
  <c r="F142" i="2"/>
  <c r="AT142" i="2"/>
  <c r="AU142" i="2"/>
  <c r="AD142" i="2"/>
  <c r="H144" i="2"/>
  <c r="Y144" i="2"/>
  <c r="I144" i="2"/>
  <c r="H145" i="2"/>
  <c r="AA145" i="2"/>
  <c r="L145" i="2"/>
  <c r="Z128" i="2"/>
  <c r="F128" i="2"/>
  <c r="AD128" i="2"/>
  <c r="AR128" i="2"/>
  <c r="AS128" i="2"/>
  <c r="Z132" i="2"/>
  <c r="F132" i="2"/>
  <c r="AD132" i="2"/>
  <c r="AR132" i="2"/>
  <c r="AS132" i="2"/>
  <c r="Z136" i="2"/>
  <c r="F136" i="2"/>
  <c r="AD136" i="2"/>
  <c r="AR136" i="2"/>
  <c r="AS136" i="2"/>
  <c r="Z140" i="2"/>
  <c r="F140" i="2"/>
  <c r="AD140" i="2"/>
  <c r="AR140" i="2"/>
  <c r="AS140" i="2"/>
  <c r="Z144" i="2"/>
  <c r="F144" i="2"/>
  <c r="AV144" i="2"/>
  <c r="AW144" i="2"/>
  <c r="AA144" i="2"/>
  <c r="L144" i="2"/>
  <c r="G144" i="2"/>
  <c r="AV145" i="2"/>
  <c r="AW145" i="2"/>
  <c r="Z145" i="2"/>
  <c r="F145" i="2"/>
  <c r="Y145" i="2"/>
  <c r="I145" i="2"/>
  <c r="Z143" i="2"/>
  <c r="F143" i="2"/>
  <c r="AD143" i="2"/>
  <c r="AR143" i="2"/>
  <c r="AS143" i="2"/>
  <c r="AV146" i="2"/>
  <c r="AW146" i="2"/>
  <c r="AR146" i="2"/>
  <c r="AS146" i="2"/>
  <c r="Y146" i="2"/>
  <c r="I146" i="2"/>
  <c r="AA146" i="2"/>
  <c r="L146" i="2"/>
  <c r="G146" i="2"/>
  <c r="AV147" i="2"/>
  <c r="AW147" i="2"/>
  <c r="AR147" i="2"/>
  <c r="AS147" i="2"/>
  <c r="Y147" i="2"/>
  <c r="I147" i="2"/>
  <c r="Z147" i="2"/>
  <c r="F147" i="2"/>
  <c r="AV148" i="2"/>
  <c r="AW148" i="2"/>
  <c r="AR148" i="2"/>
  <c r="AS148" i="2"/>
  <c r="Y148" i="2"/>
  <c r="I148" i="2"/>
  <c r="AT148" i="2"/>
  <c r="AU148" i="2"/>
  <c r="T148" i="2"/>
  <c r="AD148" i="2"/>
  <c r="AV153" i="2"/>
  <c r="AW153" i="2"/>
  <c r="AR153" i="2"/>
  <c r="AS153" i="2"/>
  <c r="Y153" i="2"/>
  <c r="I153" i="2"/>
  <c r="AA153" i="2"/>
  <c r="L153" i="2"/>
  <c r="G153" i="2"/>
  <c r="AV154" i="2"/>
  <c r="AW154" i="2"/>
  <c r="AR154" i="2"/>
  <c r="AS154" i="2"/>
  <c r="Y154" i="2"/>
  <c r="I154" i="2"/>
  <c r="Z154" i="2"/>
  <c r="F154" i="2"/>
  <c r="T154" i="2"/>
  <c r="AV149" i="2"/>
  <c r="AW149" i="2"/>
  <c r="AR149" i="2"/>
  <c r="AS149" i="2"/>
  <c r="Y149" i="2"/>
  <c r="I149" i="2"/>
  <c r="AD149" i="2"/>
  <c r="K149" i="2"/>
  <c r="AV156" i="2"/>
  <c r="AW156" i="2"/>
  <c r="AR156" i="2"/>
  <c r="AS156" i="2"/>
  <c r="Y156" i="2"/>
  <c r="I156" i="2"/>
  <c r="AD156" i="2"/>
  <c r="AV9" i="2"/>
  <c r="AQ151" i="2"/>
  <c r="AG122" i="2"/>
  <c r="AQ112" i="2"/>
  <c r="P112" i="2"/>
  <c r="AQ101" i="2"/>
  <c r="P101" i="2"/>
  <c r="AQ72" i="2"/>
  <c r="P72" i="2"/>
  <c r="AQ52" i="2"/>
  <c r="P52" i="2"/>
  <c r="AQ36" i="2"/>
  <c r="P36" i="2"/>
  <c r="AQ81" i="2"/>
  <c r="P81" i="2"/>
  <c r="AQ66" i="2"/>
  <c r="P66" i="2"/>
  <c r="AQ123" i="2"/>
  <c r="P123" i="2"/>
  <c r="AQ31" i="2"/>
  <c r="P31" i="2"/>
  <c r="AQ39" i="2"/>
  <c r="P39" i="2"/>
  <c r="AQ30" i="2"/>
  <c r="P30" i="2"/>
  <c r="AQ47" i="2"/>
  <c r="P47" i="2"/>
  <c r="AQ75" i="2"/>
  <c r="P75" i="2"/>
  <c r="AQ83" i="2"/>
  <c r="P83" i="2"/>
  <c r="AQ44" i="2"/>
  <c r="P44" i="2"/>
  <c r="AQ122" i="2"/>
  <c r="P122" i="2"/>
  <c r="AQ119" i="2"/>
  <c r="P119" i="2"/>
  <c r="AQ19" i="2"/>
  <c r="P19" i="2"/>
  <c r="AQ149" i="2"/>
  <c r="P149" i="2"/>
  <c r="AQ142" i="2"/>
  <c r="P142" i="2"/>
  <c r="AQ133" i="2"/>
  <c r="P133" i="2"/>
  <c r="AQ114" i="2"/>
  <c r="P114" i="2"/>
  <c r="AQ134" i="2"/>
  <c r="P134" i="2"/>
  <c r="AQ58" i="2"/>
  <c r="P58" i="2"/>
  <c r="AQ20" i="2"/>
  <c r="P20" i="2"/>
  <c r="AQ144" i="2"/>
  <c r="P144" i="2"/>
  <c r="AQ21" i="2"/>
  <c r="P21" i="2"/>
  <c r="AQ141" i="2"/>
  <c r="P141" i="2"/>
  <c r="AQ124" i="2"/>
  <c r="P124" i="2"/>
  <c r="AQ126" i="2"/>
  <c r="P126" i="2"/>
  <c r="AQ82" i="2"/>
  <c r="P82" i="2"/>
  <c r="AQ27" i="2"/>
  <c r="P27" i="2"/>
  <c r="AQ48" i="2"/>
  <c r="P48" i="2"/>
  <c r="AQ104" i="2"/>
  <c r="P104" i="2"/>
  <c r="AQ67" i="2"/>
  <c r="P67" i="2"/>
  <c r="AQ59" i="2"/>
  <c r="P59" i="2"/>
  <c r="AQ70" i="2"/>
  <c r="P70" i="2"/>
  <c r="AQ97" i="2"/>
  <c r="P97" i="2"/>
  <c r="AQ92" i="2"/>
  <c r="P92" i="2"/>
  <c r="AQ143" i="2"/>
  <c r="P143" i="2"/>
  <c r="AQ105" i="2"/>
  <c r="P105" i="2"/>
  <c r="AQ34" i="2"/>
  <c r="P34" i="2"/>
  <c r="AQ147" i="2"/>
  <c r="P147" i="2"/>
  <c r="AQ28" i="2"/>
  <c r="P28" i="2"/>
  <c r="AQ131" i="2"/>
  <c r="P131" i="2"/>
  <c r="AQ79" i="2"/>
  <c r="P79" i="2"/>
  <c r="AQ69" i="2"/>
  <c r="P69" i="2"/>
  <c r="AQ53" i="2"/>
  <c r="P53" i="2"/>
  <c r="AQ35" i="2"/>
  <c r="P35" i="2"/>
  <c r="AQ145" i="2"/>
  <c r="P145" i="2"/>
  <c r="AQ78" i="2"/>
  <c r="P78" i="2"/>
  <c r="AQ115" i="2"/>
  <c r="P115" i="2"/>
  <c r="AQ146" i="2"/>
  <c r="P146" i="2"/>
  <c r="AQ137" i="2"/>
  <c r="P137" i="2"/>
  <c r="AQ86" i="2"/>
  <c r="P86" i="2"/>
  <c r="AQ98" i="2"/>
  <c r="P98" i="2"/>
  <c r="AQ65" i="2"/>
  <c r="P65" i="2"/>
  <c r="AQ56" i="2"/>
  <c r="P56" i="2"/>
  <c r="AQ73" i="2"/>
  <c r="P73" i="2"/>
  <c r="AQ100" i="2"/>
  <c r="P100" i="2"/>
  <c r="AQ76" i="2"/>
  <c r="P76" i="2"/>
  <c r="AQ29" i="2"/>
  <c r="P29" i="2"/>
  <c r="AQ113" i="2"/>
  <c r="P113" i="2"/>
  <c r="AQ120" i="2"/>
  <c r="P120" i="2"/>
  <c r="AQ43" i="2"/>
  <c r="P43" i="2"/>
  <c r="AQ63" i="2"/>
  <c r="P63" i="2"/>
  <c r="AQ62" i="2"/>
  <c r="P62" i="2"/>
  <c r="AQ61" i="2"/>
  <c r="P61" i="2"/>
  <c r="AQ26" i="2"/>
  <c r="P26" i="2"/>
  <c r="AQ37" i="2"/>
  <c r="P37" i="2"/>
  <c r="AQ154" i="2"/>
  <c r="P154" i="2"/>
  <c r="AQ107" i="2"/>
  <c r="P107" i="2"/>
  <c r="AQ64" i="2"/>
  <c r="P64" i="2"/>
  <c r="AQ109" i="2"/>
  <c r="P109" i="2"/>
  <c r="AQ99" i="2"/>
  <c r="P99" i="2"/>
  <c r="AQ74" i="2"/>
  <c r="P74" i="2"/>
  <c r="AQ25" i="2"/>
  <c r="P25" i="2"/>
  <c r="AQ32" i="2"/>
  <c r="P32" i="2"/>
  <c r="AQ111" i="2"/>
  <c r="P111" i="2"/>
  <c r="AQ130" i="2"/>
  <c r="P130" i="2"/>
  <c r="AQ108" i="2"/>
  <c r="P108" i="2"/>
  <c r="AQ94" i="2"/>
  <c r="P94" i="2"/>
  <c r="AQ156" i="2"/>
  <c r="P156" i="2"/>
  <c r="AQ88" i="2"/>
  <c r="P88" i="2"/>
  <c r="AQ148" i="2"/>
  <c r="P148" i="2"/>
  <c r="AQ152" i="2"/>
  <c r="P152" i="2"/>
  <c r="AQ135" i="2"/>
  <c r="P135" i="2"/>
  <c r="AQ77" i="2"/>
  <c r="P77" i="2"/>
  <c r="AQ127" i="2"/>
  <c r="P127" i="2"/>
  <c r="AQ121" i="2"/>
  <c r="P121" i="2"/>
  <c r="AQ132" i="2"/>
  <c r="P132" i="2"/>
  <c r="AQ90" i="2"/>
  <c r="P90" i="2"/>
  <c r="AQ140" i="2"/>
  <c r="P140" i="2"/>
  <c r="AQ117" i="2"/>
  <c r="P117" i="2"/>
  <c r="AQ106" i="2"/>
  <c r="P106" i="2"/>
  <c r="AQ42" i="2"/>
  <c r="P42" i="2"/>
  <c r="AQ33" i="2"/>
  <c r="P33" i="2"/>
  <c r="AQ96" i="2"/>
  <c r="P96" i="2"/>
  <c r="AQ110" i="2"/>
  <c r="P110" i="2"/>
  <c r="AQ128" i="2"/>
  <c r="P128" i="2"/>
  <c r="AQ136" i="2"/>
  <c r="P136" i="2"/>
  <c r="AQ50" i="2"/>
  <c r="P50" i="2"/>
  <c r="AQ138" i="2"/>
  <c r="P138" i="2"/>
  <c r="AQ60" i="2"/>
  <c r="P60" i="2"/>
  <c r="AQ41" i="2"/>
  <c r="P41" i="2"/>
  <c r="AQ129" i="2"/>
  <c r="P129" i="2"/>
  <c r="AQ95" i="2"/>
  <c r="P95" i="2"/>
  <c r="AQ80" i="2"/>
  <c r="P80" i="2"/>
  <c r="AQ103" i="2"/>
  <c r="P103" i="2"/>
  <c r="AQ71" i="2"/>
  <c r="P71" i="2"/>
  <c r="AQ38" i="2"/>
  <c r="P38" i="2"/>
  <c r="AQ87" i="2"/>
  <c r="P87" i="2"/>
  <c r="AQ102" i="2"/>
  <c r="P102" i="2"/>
  <c r="AQ57" i="2"/>
  <c r="P57" i="2"/>
  <c r="AQ91" i="2"/>
  <c r="P91" i="2"/>
  <c r="AQ40" i="2"/>
  <c r="P40" i="2"/>
  <c r="AQ55" i="2"/>
  <c r="P55" i="2"/>
  <c r="AQ45" i="2"/>
  <c r="P45" i="2"/>
  <c r="AQ139" i="2"/>
  <c r="P139" i="2"/>
  <c r="AQ116" i="2"/>
  <c r="P116" i="2"/>
  <c r="AQ18" i="2"/>
  <c r="P18" i="2"/>
  <c r="AQ46" i="2"/>
  <c r="P46" i="2"/>
  <c r="AQ153" i="2"/>
  <c r="P153" i="2"/>
  <c r="AQ68" i="2"/>
  <c r="P68" i="2"/>
  <c r="AQ125" i="2"/>
  <c r="P125" i="2"/>
  <c r="AQ51" i="2"/>
  <c r="P51" i="2"/>
  <c r="AQ150" i="2"/>
  <c r="P150" i="2"/>
  <c r="AQ54" i="2"/>
  <c r="P54" i="2"/>
  <c r="AQ89" i="2"/>
  <c r="P89" i="2"/>
  <c r="AQ22" i="2"/>
  <c r="P22" i="2"/>
  <c r="AQ118" i="2"/>
  <c r="P118" i="2"/>
  <c r="AQ84" i="2"/>
  <c r="P84" i="2"/>
  <c r="AQ23" i="2"/>
  <c r="P23" i="2"/>
  <c r="AQ49" i="2"/>
  <c r="P49" i="2"/>
  <c r="AQ24" i="2"/>
  <c r="P24" i="2"/>
  <c r="AG123" i="2"/>
  <c r="AG148" i="2"/>
  <c r="AG95" i="2"/>
  <c r="AG145" i="2"/>
  <c r="AG103" i="2"/>
  <c r="AG55" i="2"/>
  <c r="AG119" i="2"/>
  <c r="AG63" i="2"/>
  <c r="AG144" i="2"/>
  <c r="AG142" i="2"/>
  <c r="AG138" i="2"/>
  <c r="AG116" i="2"/>
  <c r="AG40" i="2"/>
  <c r="AG69" i="2"/>
  <c r="AG118" i="2"/>
  <c r="AG140" i="2"/>
  <c r="AG132" i="2"/>
  <c r="AG128" i="2"/>
  <c r="AG134" i="2"/>
  <c r="AG117" i="2"/>
  <c r="AG56" i="2"/>
  <c r="AG48" i="2"/>
  <c r="AG62" i="2"/>
  <c r="AG42" i="2"/>
  <c r="AG143" i="2"/>
  <c r="AG136" i="2"/>
  <c r="AG130" i="2"/>
  <c r="AG126" i="2"/>
  <c r="AG100" i="2"/>
  <c r="AG104" i="2"/>
  <c r="AG38" i="2"/>
  <c r="AG93" i="2"/>
  <c r="AG27" i="2"/>
  <c r="AN27" i="2"/>
  <c r="Q27" i="2"/>
  <c r="R27" i="2"/>
  <c r="AG23" i="2"/>
  <c r="AN23" i="2"/>
  <c r="Q23" i="2"/>
  <c r="R23" i="2"/>
  <c r="AG25" i="2"/>
  <c r="AN25" i="2"/>
  <c r="Q25" i="2"/>
  <c r="R25" i="2"/>
  <c r="AG113" i="2"/>
  <c r="AG133" i="2"/>
  <c r="AG124" i="2"/>
  <c r="AG84" i="2"/>
  <c r="AG60" i="2"/>
  <c r="AG44" i="2"/>
  <c r="AG36" i="2"/>
  <c r="AG65" i="2"/>
  <c r="AG150" i="2"/>
  <c r="AG61" i="2"/>
  <c r="AG106" i="2"/>
  <c r="AG154" i="2"/>
  <c r="AG147" i="2"/>
  <c r="AG76" i="2"/>
  <c r="AG72" i="2"/>
  <c r="AG68" i="2"/>
  <c r="AG64" i="2"/>
  <c r="AG114" i="2"/>
  <c r="AG31" i="2"/>
  <c r="AG26" i="2"/>
  <c r="AG87" i="2"/>
  <c r="AG149" i="2"/>
  <c r="AG82" i="2"/>
  <c r="AG131" i="2"/>
  <c r="AG139" i="2"/>
  <c r="AG135" i="2"/>
  <c r="AG112" i="2"/>
  <c r="AG125" i="2"/>
  <c r="AG127" i="2"/>
  <c r="AG57" i="2"/>
  <c r="AG51" i="2"/>
  <c r="AG66" i="2"/>
  <c r="AG24" i="2"/>
  <c r="AG89" i="2"/>
  <c r="AG33" i="2"/>
  <c r="AG28" i="2"/>
  <c r="AG22" i="2"/>
  <c r="AG21" i="2"/>
  <c r="AG46" i="2"/>
  <c r="AG81" i="2"/>
  <c r="AG45" i="2"/>
  <c r="AG99" i="2"/>
  <c r="AG75" i="2"/>
  <c r="AG109" i="2"/>
  <c r="AG74" i="2"/>
  <c r="AG156" i="2"/>
  <c r="AG85" i="2"/>
  <c r="AG152" i="2"/>
  <c r="AG153" i="2"/>
  <c r="AG111" i="2"/>
  <c r="AG141" i="2"/>
  <c r="AG137" i="2"/>
  <c r="AG151" i="2"/>
  <c r="AG129" i="2"/>
  <c r="AG108" i="2"/>
  <c r="AG120" i="2"/>
  <c r="AG73" i="2"/>
  <c r="AG67" i="2"/>
  <c r="AG59" i="2"/>
  <c r="AG49" i="2"/>
  <c r="AG43" i="2"/>
  <c r="AG58" i="2"/>
  <c r="AG50" i="2"/>
  <c r="AG53" i="2"/>
  <c r="AG41" i="2"/>
  <c r="AG34" i="2"/>
  <c r="AG121" i="2"/>
  <c r="AG37" i="2"/>
  <c r="AG35" i="2"/>
  <c r="AG30" i="2"/>
  <c r="AG29" i="2"/>
  <c r="AG110" i="2"/>
  <c r="AG97" i="2"/>
  <c r="AG47" i="2"/>
  <c r="AG101" i="2"/>
  <c r="AG77" i="2"/>
  <c r="AG102" i="2"/>
  <c r="AG91" i="2"/>
  <c r="AG98" i="2"/>
  <c r="AG146" i="2"/>
  <c r="AG83" i="2"/>
  <c r="AG90" i="2"/>
  <c r="AG115" i="2"/>
  <c r="AG105" i="2"/>
  <c r="Q56" i="2"/>
  <c r="R56" i="2"/>
  <c r="Q62" i="2"/>
  <c r="R62" i="2"/>
  <c r="Q46" i="2"/>
  <c r="Q68" i="2"/>
  <c r="I62" i="2"/>
  <c r="R68" i="2"/>
  <c r="L71" i="2"/>
  <c r="L64" i="2"/>
  <c r="I70" i="2"/>
  <c r="I61" i="2"/>
  <c r="I65" i="2"/>
  <c r="L67" i="2"/>
  <c r="R46" i="2"/>
  <c r="L73" i="2"/>
  <c r="I71" i="2"/>
  <c r="L70" i="2"/>
  <c r="I69" i="2"/>
  <c r="L63" i="2"/>
  <c r="L62" i="2"/>
  <c r="I68" i="2"/>
  <c r="I73" i="2"/>
  <c r="I72" i="2"/>
  <c r="L68" i="2"/>
  <c r="L72" i="2"/>
  <c r="Q21" i="2"/>
  <c r="R21" i="2"/>
  <c r="Q24" i="2"/>
  <c r="R24" i="2"/>
  <c r="Q22" i="2"/>
  <c r="R22" i="2"/>
  <c r="Q90" i="2"/>
  <c r="R90" i="2"/>
  <c r="Q74" i="2"/>
  <c r="R74" i="2"/>
  <c r="Q151" i="2"/>
  <c r="R151" i="2"/>
  <c r="Q139" i="2"/>
  <c r="R139" i="2"/>
  <c r="AP139" i="2"/>
  <c r="S139" i="2"/>
  <c r="T139" i="2"/>
  <c r="R129" i="2"/>
  <c r="Q129" i="2"/>
  <c r="Q99" i="2"/>
  <c r="R99" i="2"/>
  <c r="R85" i="2"/>
  <c r="Q85" i="2"/>
  <c r="AP76" i="2"/>
  <c r="S76" i="2"/>
  <c r="T76" i="2"/>
  <c r="Q76" i="2"/>
  <c r="R76" i="2"/>
  <c r="AP64" i="2"/>
  <c r="S64" i="2"/>
  <c r="T64" i="2"/>
  <c r="AP40" i="2"/>
  <c r="S40" i="2"/>
  <c r="T40" i="2"/>
  <c r="R114" i="2"/>
  <c r="Q114" i="2"/>
  <c r="Q67" i="2"/>
  <c r="R67" i="2"/>
  <c r="AP67" i="2"/>
  <c r="S67" i="2"/>
  <c r="T67" i="2"/>
  <c r="Q59" i="2"/>
  <c r="R59" i="2"/>
  <c r="AP59" i="2"/>
  <c r="S59" i="2"/>
  <c r="T59" i="2"/>
  <c r="Q49" i="2"/>
  <c r="R49" i="2"/>
  <c r="AP70" i="2"/>
  <c r="S70" i="2"/>
  <c r="T70" i="2"/>
  <c r="Q63" i="2"/>
  <c r="R63" i="2"/>
  <c r="AP63" i="2"/>
  <c r="S63" i="2"/>
  <c r="T63" i="2"/>
  <c r="AP54" i="2"/>
  <c r="S54" i="2"/>
  <c r="T54" i="2"/>
  <c r="Q31" i="2"/>
  <c r="R31" i="2"/>
  <c r="AP31" i="2"/>
  <c r="S31" i="2"/>
  <c r="T31" i="2"/>
  <c r="AP25" i="2"/>
  <c r="S25" i="2"/>
  <c r="T25" i="2"/>
  <c r="Q121" i="2"/>
  <c r="R121" i="2"/>
  <c r="Q42" i="2"/>
  <c r="R42" i="2"/>
  <c r="Q39" i="2"/>
  <c r="R39" i="2"/>
  <c r="AP39" i="2"/>
  <c r="S39" i="2"/>
  <c r="T39" i="2"/>
  <c r="Q30" i="2"/>
  <c r="R30" i="2"/>
  <c r="AP30" i="2"/>
  <c r="S30" i="2"/>
  <c r="T30" i="2"/>
  <c r="Q38" i="2"/>
  <c r="R38" i="2"/>
  <c r="R126" i="2"/>
  <c r="Q126" i="2"/>
  <c r="R113" i="2"/>
  <c r="Q113" i="2"/>
  <c r="AP78" i="2"/>
  <c r="S78" i="2"/>
  <c r="T78" i="2"/>
  <c r="Q117" i="2"/>
  <c r="R117" i="2"/>
  <c r="Q53" i="2"/>
  <c r="R53" i="2"/>
  <c r="AP115" i="2"/>
  <c r="S115" i="2"/>
  <c r="T115" i="2"/>
  <c r="AP86" i="2"/>
  <c r="S86" i="2"/>
  <c r="T86" i="2"/>
  <c r="AP95" i="2"/>
  <c r="S95" i="2"/>
  <c r="T95" i="2"/>
  <c r="AP153" i="2"/>
  <c r="S153" i="2"/>
  <c r="T153" i="2"/>
  <c r="Q153" i="2"/>
  <c r="R153" i="2"/>
  <c r="AP132" i="2"/>
  <c r="S132" i="2"/>
  <c r="T132" i="2"/>
  <c r="AP138" i="2"/>
  <c r="S138" i="2"/>
  <c r="T138" i="2"/>
  <c r="Q133" i="2"/>
  <c r="R133" i="2"/>
  <c r="Q119" i="2"/>
  <c r="R119" i="2"/>
  <c r="Q137" i="2"/>
  <c r="R137" i="2"/>
  <c r="AP129" i="2"/>
  <c r="S129" i="2"/>
  <c r="T129" i="2"/>
  <c r="Q125" i="2"/>
  <c r="R125" i="2"/>
  <c r="AP43" i="2"/>
  <c r="S43" i="2"/>
  <c r="T43" i="2"/>
  <c r="AP150" i="2"/>
  <c r="S150" i="2"/>
  <c r="T150" i="2"/>
  <c r="AP69" i="2"/>
  <c r="S69" i="2"/>
  <c r="T69" i="2"/>
  <c r="AP24" i="2"/>
  <c r="S24" i="2"/>
  <c r="T24" i="2"/>
  <c r="R89" i="2"/>
  <c r="Q89" i="2"/>
  <c r="Q45" i="2"/>
  <c r="R45" i="2"/>
  <c r="Q33" i="2"/>
  <c r="R33" i="2"/>
  <c r="Q28" i="2"/>
  <c r="R28" i="2"/>
  <c r="Q103" i="2"/>
  <c r="R103" i="2"/>
  <c r="R81" i="2"/>
  <c r="Q81" i="2"/>
  <c r="R134" i="2"/>
  <c r="Q134" i="2"/>
  <c r="Q70" i="2"/>
  <c r="R70" i="2"/>
  <c r="Q140" i="2"/>
  <c r="R140" i="2"/>
  <c r="AP147" i="2"/>
  <c r="S147" i="2"/>
  <c r="T147" i="2"/>
  <c r="Q147" i="2"/>
  <c r="R147" i="2"/>
  <c r="Q141" i="2"/>
  <c r="R141" i="2"/>
  <c r="Q86" i="2"/>
  <c r="R86" i="2"/>
  <c r="Q112" i="2"/>
  <c r="R112" i="2"/>
  <c r="R100" i="2"/>
  <c r="Q100" i="2"/>
  <c r="Q91" i="2"/>
  <c r="R91" i="2"/>
  <c r="AP36" i="2"/>
  <c r="S36" i="2"/>
  <c r="T36" i="2"/>
  <c r="Q104" i="2"/>
  <c r="R104" i="2"/>
  <c r="Q66" i="2"/>
  <c r="R66" i="2"/>
  <c r="Q50" i="2"/>
  <c r="R50" i="2"/>
  <c r="Q88" i="2"/>
  <c r="R88" i="2"/>
  <c r="AP41" i="2"/>
  <c r="S41" i="2"/>
  <c r="T41" i="2"/>
  <c r="AP42" i="2"/>
  <c r="S42" i="2"/>
  <c r="T42" i="2"/>
  <c r="AP46" i="2"/>
  <c r="S46" i="2"/>
  <c r="T46" i="2"/>
  <c r="AP82" i="2"/>
  <c r="S82" i="2"/>
  <c r="T82" i="2"/>
  <c r="Q106" i="2"/>
  <c r="R106" i="2"/>
  <c r="Q32" i="2"/>
  <c r="R32" i="2"/>
  <c r="Q73" i="2"/>
  <c r="R73" i="2"/>
  <c r="AP149" i="2"/>
  <c r="S149" i="2"/>
  <c r="T149" i="2"/>
  <c r="Q128" i="2"/>
  <c r="R128" i="2"/>
  <c r="R105" i="2"/>
  <c r="Q105" i="2"/>
  <c r="Q60" i="2"/>
  <c r="R60" i="2"/>
  <c r="Q61" i="2"/>
  <c r="R61" i="2"/>
  <c r="AP87" i="2"/>
  <c r="S87" i="2"/>
  <c r="T87" i="2"/>
  <c r="Q132" i="2"/>
  <c r="R132" i="2"/>
  <c r="AP143" i="2"/>
  <c r="S143" i="2"/>
  <c r="T143" i="2"/>
  <c r="Q94" i="2"/>
  <c r="R94" i="2"/>
  <c r="Q78" i="2"/>
  <c r="R78" i="2"/>
  <c r="R93" i="2"/>
  <c r="Q93" i="2"/>
  <c r="AP84" i="2"/>
  <c r="S84" i="2"/>
  <c r="T84" i="2"/>
  <c r="Q84" i="2"/>
  <c r="R84" i="2"/>
  <c r="AP75" i="2"/>
  <c r="S75" i="2"/>
  <c r="T75" i="2"/>
  <c r="Q75" i="2"/>
  <c r="R75" i="2"/>
  <c r="AP65" i="2"/>
  <c r="S65" i="2"/>
  <c r="T65" i="2"/>
  <c r="AP57" i="2"/>
  <c r="S57" i="2"/>
  <c r="T57" i="2"/>
  <c r="Q43" i="2"/>
  <c r="R43" i="2"/>
  <c r="Q58" i="2"/>
  <c r="R58" i="2"/>
  <c r="AP58" i="2"/>
  <c r="S58" i="2"/>
  <c r="T58" i="2"/>
  <c r="AP53" i="2"/>
  <c r="S53" i="2"/>
  <c r="T53" i="2"/>
  <c r="Q41" i="2"/>
  <c r="R41" i="2"/>
  <c r="R79" i="2"/>
  <c r="Q79" i="2"/>
  <c r="AP111" i="2"/>
  <c r="S111" i="2"/>
  <c r="T111" i="2"/>
  <c r="AP94" i="2"/>
  <c r="S94" i="2"/>
  <c r="T94" i="2"/>
  <c r="R138" i="2"/>
  <c r="Q138" i="2"/>
  <c r="Q52" i="2"/>
  <c r="R52" i="2"/>
  <c r="Q64" i="2"/>
  <c r="R64" i="2"/>
  <c r="Q72" i="2"/>
  <c r="R72" i="2"/>
  <c r="Q54" i="2"/>
  <c r="R54" i="2"/>
  <c r="Q37" i="2"/>
  <c r="R37" i="2"/>
  <c r="Q156" i="2"/>
  <c r="R156" i="2"/>
  <c r="R154" i="2"/>
  <c r="Q154" i="2"/>
  <c r="AP146" i="2"/>
  <c r="S146" i="2"/>
  <c r="T146" i="2"/>
  <c r="R146" i="2"/>
  <c r="Q146" i="2"/>
  <c r="R145" i="2"/>
  <c r="Q145" i="2"/>
  <c r="AP145" i="2"/>
  <c r="S145" i="2"/>
  <c r="T145" i="2"/>
  <c r="AP144" i="2"/>
  <c r="S144" i="2"/>
  <c r="T144" i="2"/>
  <c r="AP128" i="2"/>
  <c r="S128" i="2"/>
  <c r="T128" i="2"/>
  <c r="AP134" i="2"/>
  <c r="S134" i="2"/>
  <c r="T134" i="2"/>
  <c r="Q123" i="2"/>
  <c r="R123" i="2"/>
  <c r="Q152" i="2"/>
  <c r="R152" i="2"/>
  <c r="AP141" i="2"/>
  <c r="S141" i="2"/>
  <c r="T141" i="2"/>
  <c r="Q149" i="2"/>
  <c r="R149" i="2"/>
  <c r="AP140" i="2"/>
  <c r="S140" i="2"/>
  <c r="T140" i="2"/>
  <c r="AP130" i="2"/>
  <c r="S130" i="2"/>
  <c r="T130" i="2"/>
  <c r="Q102" i="2"/>
  <c r="R102" i="2"/>
  <c r="Q108" i="2"/>
  <c r="R108" i="2"/>
  <c r="AP100" i="2"/>
  <c r="S100" i="2"/>
  <c r="T100" i="2"/>
  <c r="AP91" i="2"/>
  <c r="S91" i="2"/>
  <c r="T91" i="2"/>
  <c r="R77" i="2"/>
  <c r="Q77" i="2"/>
  <c r="Q48" i="2"/>
  <c r="R48" i="2"/>
  <c r="Q127" i="2"/>
  <c r="R127" i="2"/>
  <c r="AP27" i="2"/>
  <c r="S27" i="2"/>
  <c r="T27" i="2"/>
  <c r="Q65" i="2"/>
  <c r="R65" i="2"/>
  <c r="Q57" i="2"/>
  <c r="R57" i="2"/>
  <c r="Q51" i="2"/>
  <c r="R51" i="2"/>
  <c r="AP51" i="2"/>
  <c r="S51" i="2"/>
  <c r="T51" i="2"/>
  <c r="AP49" i="2"/>
  <c r="S49" i="2"/>
  <c r="T49" i="2"/>
  <c r="R150" i="2"/>
  <c r="Q150" i="2"/>
  <c r="AP66" i="2"/>
  <c r="S66" i="2"/>
  <c r="T66" i="2"/>
  <c r="AP61" i="2"/>
  <c r="S61" i="2"/>
  <c r="T61" i="2"/>
  <c r="Q34" i="2"/>
  <c r="R34" i="2"/>
  <c r="AP103" i="2"/>
  <c r="S103" i="2"/>
  <c r="T103" i="2"/>
  <c r="Q95" i="2"/>
  <c r="R95" i="2"/>
  <c r="AP33" i="2"/>
  <c r="S33" i="2"/>
  <c r="T33" i="2"/>
  <c r="AP28" i="2"/>
  <c r="S28" i="2"/>
  <c r="T28" i="2"/>
  <c r="Q87" i="2"/>
  <c r="R87" i="2"/>
  <c r="R97" i="2"/>
  <c r="Q97" i="2"/>
  <c r="AP45" i="2"/>
  <c r="S45" i="2"/>
  <c r="T45" i="2"/>
  <c r="Q109" i="2"/>
  <c r="R109" i="2"/>
  <c r="Q148" i="2"/>
  <c r="R148" i="2"/>
  <c r="Q144" i="2"/>
  <c r="R144" i="2"/>
  <c r="AP136" i="2"/>
  <c r="S136" i="2"/>
  <c r="T136" i="2"/>
  <c r="R142" i="2"/>
  <c r="Q142" i="2"/>
  <c r="AP142" i="2"/>
  <c r="S142" i="2"/>
  <c r="T142" i="2"/>
  <c r="AP126" i="2"/>
  <c r="S126" i="2"/>
  <c r="T126" i="2"/>
  <c r="AP133" i="2"/>
  <c r="S133" i="2"/>
  <c r="T133" i="2"/>
  <c r="Q131" i="2"/>
  <c r="R131" i="2"/>
  <c r="AP131" i="2"/>
  <c r="S131" i="2"/>
  <c r="T131" i="2"/>
  <c r="AP137" i="2"/>
  <c r="S137" i="2"/>
  <c r="T137" i="2"/>
  <c r="Q98" i="2"/>
  <c r="R98" i="2"/>
  <c r="Q82" i="2"/>
  <c r="R82" i="2"/>
  <c r="Q135" i="2"/>
  <c r="R135" i="2"/>
  <c r="AP135" i="2"/>
  <c r="S135" i="2"/>
  <c r="T135" i="2"/>
  <c r="R122" i="2"/>
  <c r="Q122" i="2"/>
  <c r="R101" i="2"/>
  <c r="Q101" i="2"/>
  <c r="AP92" i="2"/>
  <c r="S92" i="2"/>
  <c r="T92" i="2"/>
  <c r="Q92" i="2"/>
  <c r="R92" i="2"/>
  <c r="Q83" i="2"/>
  <c r="R83" i="2"/>
  <c r="AP72" i="2"/>
  <c r="S72" i="2"/>
  <c r="T72" i="2"/>
  <c r="AP56" i="2"/>
  <c r="S56" i="2"/>
  <c r="T56" i="2"/>
  <c r="AP48" i="2"/>
  <c r="S48" i="2"/>
  <c r="T48" i="2"/>
  <c r="AP32" i="2"/>
  <c r="S32" i="2"/>
  <c r="T32" i="2"/>
  <c r="Q120" i="2"/>
  <c r="R120" i="2"/>
  <c r="AP23" i="2"/>
  <c r="S23" i="2"/>
  <c r="T23" i="2"/>
  <c r="AP73" i="2"/>
  <c r="S73" i="2"/>
  <c r="T73" i="2"/>
  <c r="AP50" i="2"/>
  <c r="S50" i="2"/>
  <c r="T50" i="2"/>
  <c r="Q71" i="2"/>
  <c r="R71" i="2"/>
  <c r="AP71" i="2"/>
  <c r="S71" i="2"/>
  <c r="T71" i="2"/>
  <c r="AP62" i="2"/>
  <c r="S62" i="2"/>
  <c r="T62" i="2"/>
  <c r="Q55" i="2"/>
  <c r="R55" i="2"/>
  <c r="AP55" i="2"/>
  <c r="S55" i="2"/>
  <c r="T55" i="2"/>
  <c r="AP34" i="2"/>
  <c r="S34" i="2"/>
  <c r="T34" i="2"/>
  <c r="Q26" i="2"/>
  <c r="R26" i="2"/>
  <c r="AP26" i="2"/>
  <c r="S26" i="2"/>
  <c r="T26" i="2"/>
  <c r="Q96" i="2"/>
  <c r="R96" i="2"/>
  <c r="Q80" i="2"/>
  <c r="R80" i="2"/>
  <c r="AP38" i="2"/>
  <c r="S38" i="2"/>
  <c r="T38" i="2"/>
  <c r="AP37" i="2"/>
  <c r="S37" i="2"/>
  <c r="T37" i="2"/>
  <c r="Q35" i="2"/>
  <c r="R35" i="2"/>
  <c r="AP35" i="2"/>
  <c r="S35" i="2"/>
  <c r="T35" i="2"/>
  <c r="AP29" i="2"/>
  <c r="S29" i="2"/>
  <c r="T29" i="2"/>
  <c r="AP22" i="2"/>
  <c r="S22" i="2"/>
  <c r="T22" i="2"/>
  <c r="R110" i="2"/>
  <c r="Q110" i="2"/>
  <c r="R118" i="2"/>
  <c r="Q118" i="2"/>
  <c r="Q47" i="2"/>
  <c r="R47" i="2"/>
  <c r="AP47" i="2"/>
  <c r="S47" i="2"/>
  <c r="T47" i="2"/>
  <c r="Q115" i="2"/>
  <c r="R115" i="2"/>
  <c r="Q116" i="2"/>
  <c r="R116" i="2"/>
  <c r="Q40" i="2"/>
  <c r="R40" i="2"/>
  <c r="Q143" i="2"/>
  <c r="R143" i="2"/>
  <c r="AP98" i="2"/>
  <c r="S98" i="2"/>
  <c r="T98" i="2"/>
  <c r="Q107" i="2"/>
  <c r="R107" i="2"/>
  <c r="Q136" i="2"/>
  <c r="R136" i="2"/>
  <c r="Q44" i="2"/>
  <c r="R44" i="2"/>
  <c r="Q36" i="2"/>
  <c r="R36" i="2"/>
  <c r="AP102" i="2"/>
  <c r="S102" i="2"/>
  <c r="T102" i="2"/>
  <c r="AP74" i="2"/>
  <c r="S74" i="2"/>
  <c r="T74" i="2"/>
  <c r="R130" i="2"/>
  <c r="Q130" i="2"/>
  <c r="AP88" i="2"/>
  <c r="S88" i="2"/>
  <c r="T88" i="2"/>
  <c r="Q69" i="2"/>
  <c r="R69" i="2"/>
  <c r="AP79" i="2"/>
  <c r="S79" i="2"/>
  <c r="T79" i="2"/>
  <c r="AP17" i="2"/>
  <c r="S17" i="2"/>
  <c r="T17" i="2"/>
  <c r="AP15" i="2"/>
  <c r="S15" i="2"/>
  <c r="T15" i="2"/>
  <c r="AP18" i="2"/>
  <c r="S18" i="2"/>
  <c r="T18" i="2"/>
  <c r="AP16" i="2"/>
  <c r="S16" i="2"/>
  <c r="T16" i="2"/>
  <c r="S7" i="2"/>
  <c r="T7" i="2"/>
  <c r="AP19" i="2"/>
  <c r="S19" i="2"/>
  <c r="T19" i="2"/>
  <c r="AP20" i="2"/>
  <c r="S20" i="2"/>
  <c r="T20" i="2"/>
  <c r="AP13" i="2"/>
  <c r="S13" i="2"/>
  <c r="T13" i="2"/>
  <c r="K94" i="2"/>
  <c r="K62" i="2"/>
  <c r="K113" i="2"/>
  <c r="K156" i="2"/>
  <c r="K111" i="2"/>
  <c r="K70" i="2"/>
  <c r="K141" i="2"/>
  <c r="AP156" i="2"/>
  <c r="S156" i="2"/>
  <c r="K145" i="2"/>
  <c r="K129" i="2"/>
  <c r="AP113" i="2"/>
  <c r="S113" i="2"/>
  <c r="AP109" i="2"/>
  <c r="S109" i="2"/>
  <c r="K112" i="2"/>
  <c r="K71" i="2"/>
  <c r="K123" i="2"/>
  <c r="K115" i="2"/>
  <c r="K109" i="2"/>
  <c r="K90" i="2"/>
  <c r="K73" i="2"/>
  <c r="K72" i="2"/>
  <c r="K64" i="2"/>
  <c r="K144" i="2"/>
  <c r="K69" i="2"/>
  <c r="K133" i="2"/>
  <c r="K108" i="2"/>
  <c r="K66" i="2"/>
  <c r="K86" i="2"/>
  <c r="K65" i="2"/>
  <c r="K95" i="2"/>
  <c r="K118" i="2"/>
  <c r="K154" i="2"/>
  <c r="K147" i="2"/>
  <c r="K99" i="2"/>
  <c r="K82" i="2"/>
  <c r="K139" i="2"/>
  <c r="K122" i="2"/>
  <c r="K117" i="2"/>
  <c r="K114" i="2"/>
  <c r="K121" i="2"/>
  <c r="K107" i="2"/>
  <c r="K74" i="2"/>
  <c r="K102" i="2"/>
  <c r="K125" i="2"/>
  <c r="AP105" i="2"/>
  <c r="S105" i="2"/>
  <c r="K63" i="2"/>
  <c r="K148" i="2"/>
  <c r="K68" i="2"/>
  <c r="K96" i="2"/>
  <c r="K143" i="2"/>
  <c r="K101" i="2"/>
  <c r="K85" i="2"/>
  <c r="K120" i="2"/>
  <c r="K104" i="2"/>
  <c r="K61" i="2"/>
  <c r="K80" i="2"/>
  <c r="AP107" i="2"/>
  <c r="S107" i="2"/>
  <c r="K75" i="2"/>
  <c r="K78" i="2"/>
  <c r="K116" i="2"/>
  <c r="K93" i="2"/>
  <c r="K77" i="2"/>
  <c r="K110" i="2"/>
  <c r="K87" i="2"/>
  <c r="K76" i="2"/>
  <c r="K91" i="2"/>
  <c r="AP99" i="2"/>
  <c r="S99" i="2"/>
  <c r="AP83" i="2"/>
  <c r="S83" i="2"/>
  <c r="AP68" i="2"/>
  <c r="S68" i="2"/>
  <c r="T68" i="2"/>
  <c r="AP60" i="2"/>
  <c r="S60" i="2"/>
  <c r="T60" i="2"/>
  <c r="AP52" i="2"/>
  <c r="S52" i="2"/>
  <c r="T52" i="2"/>
  <c r="AP44" i="2"/>
  <c r="S44" i="2"/>
  <c r="T44" i="2"/>
  <c r="AP127" i="2"/>
  <c r="S127" i="2"/>
  <c r="AP14" i="2"/>
  <c r="S14" i="2"/>
  <c r="T14" i="2"/>
  <c r="Q29" i="2"/>
  <c r="R29" i="2"/>
  <c r="AP21" i="2"/>
  <c r="S21" i="2"/>
  <c r="T21" i="2"/>
  <c r="AP125" i="2"/>
  <c r="S125" i="2"/>
  <c r="AP106" i="2"/>
  <c r="S106" i="2"/>
  <c r="AP77" i="2"/>
  <c r="S77" i="2"/>
  <c r="P151" i="2"/>
  <c r="AP122" i="2"/>
  <c r="S122" i="2"/>
  <c r="AP97" i="2"/>
  <c r="S97" i="2"/>
  <c r="AP123" i="2"/>
  <c r="S123" i="2"/>
  <c r="K137" i="2"/>
  <c r="AP112" i="2"/>
  <c r="S112" i="2"/>
  <c r="AP119" i="2"/>
  <c r="S119" i="2"/>
  <c r="AP124" i="2"/>
  <c r="S124" i="2"/>
  <c r="AP93" i="2"/>
  <c r="S93" i="2"/>
  <c r="K142" i="2"/>
  <c r="K152" i="2"/>
  <c r="AP152" i="2"/>
  <c r="S152" i="2"/>
  <c r="AP151" i="2"/>
  <c r="S151" i="2"/>
  <c r="P93" i="2"/>
  <c r="AP120" i="2"/>
  <c r="S120" i="2"/>
  <c r="K150" i="2"/>
  <c r="AP96" i="2"/>
  <c r="S96" i="2"/>
  <c r="K103" i="2"/>
  <c r="K97" i="2"/>
  <c r="AP81" i="2"/>
  <c r="S81" i="2"/>
  <c r="K151" i="2"/>
  <c r="AP117" i="2"/>
  <c r="S117" i="2"/>
  <c r="AP116" i="2"/>
  <c r="S116" i="2"/>
  <c r="AP101" i="2"/>
  <c r="S101" i="2"/>
  <c r="AP85" i="2"/>
  <c r="S85" i="2"/>
  <c r="AP114" i="2"/>
  <c r="S114" i="2"/>
  <c r="AP80" i="2"/>
  <c r="S80" i="2"/>
  <c r="AP121" i="2"/>
  <c r="S121" i="2"/>
  <c r="K81" i="2"/>
  <c r="AP118" i="2"/>
  <c r="S118" i="2"/>
  <c r="AP154" i="2"/>
  <c r="S154" i="2"/>
  <c r="AP148" i="2"/>
  <c r="S148" i="2"/>
  <c r="K140" i="2"/>
  <c r="K136" i="2"/>
  <c r="K132" i="2"/>
  <c r="K128" i="2"/>
  <c r="K138" i="2"/>
  <c r="K134" i="2"/>
  <c r="K130" i="2"/>
  <c r="K126" i="2"/>
  <c r="K119" i="2"/>
  <c r="K135" i="2"/>
  <c r="AP108" i="2"/>
  <c r="S108" i="2"/>
  <c r="K124" i="2"/>
  <c r="K106" i="2"/>
  <c r="P85" i="2"/>
  <c r="AP104" i="2"/>
  <c r="S104" i="2"/>
  <c r="AP89" i="2"/>
  <c r="S89" i="2"/>
  <c r="AP110" i="2"/>
  <c r="S110" i="2"/>
  <c r="AP8" i="2"/>
  <c r="S8" i="2"/>
  <c r="T8" i="2"/>
  <c r="AP11" i="2"/>
  <c r="S11" i="2"/>
  <c r="T11" i="2"/>
  <c r="AP10" i="2"/>
  <c r="S10" i="2"/>
  <c r="T10" i="2"/>
  <c r="AP12" i="2"/>
  <c r="S12" i="2"/>
  <c r="T12" i="2"/>
  <c r="AP9" i="2"/>
  <c r="S9" i="2"/>
  <c r="T9" i="2"/>
  <c r="AU9" i="2"/>
  <c r="AS14" i="2"/>
  <c r="AS16" i="2"/>
  <c r="AS17" i="2"/>
  <c r="AW14" i="2"/>
  <c r="AW17" i="2"/>
  <c r="AW16" i="2"/>
  <c r="AU14" i="2"/>
  <c r="AU17" i="2"/>
  <c r="AU16" i="2"/>
  <c r="AS10" i="2"/>
  <c r="AS11" i="2"/>
  <c r="AS12" i="2"/>
  <c r="AS15" i="2"/>
  <c r="AS7" i="2"/>
  <c r="AS9" i="2"/>
  <c r="AW9" i="2"/>
  <c r="AQ9" i="2"/>
  <c r="AS8" i="2"/>
  <c r="AS13" i="2"/>
  <c r="AW10" i="2"/>
  <c r="AW13" i="2"/>
  <c r="AW15" i="2"/>
  <c r="AW12" i="2"/>
  <c r="AW8" i="2"/>
  <c r="AW7" i="2"/>
  <c r="AW11" i="2"/>
  <c r="AU12" i="2"/>
  <c r="AU10" i="2"/>
  <c r="AU13" i="2"/>
  <c r="AU15" i="2"/>
  <c r="AQ15" i="2"/>
  <c r="AU11" i="2"/>
  <c r="AQ8" i="2"/>
  <c r="P8" i="2"/>
  <c r="AQ17" i="2"/>
  <c r="P17" i="2"/>
  <c r="AQ14" i="2"/>
  <c r="P14" i="2"/>
  <c r="AQ13" i="2"/>
  <c r="P13" i="2"/>
  <c r="AQ11" i="2"/>
  <c r="P11" i="2"/>
  <c r="AQ10" i="2"/>
  <c r="P10" i="2"/>
  <c r="AQ7" i="2"/>
  <c r="P7" i="2"/>
  <c r="AQ12" i="2"/>
  <c r="P12" i="2"/>
  <c r="AQ16" i="2"/>
  <c r="P16" i="2"/>
  <c r="P9" i="2"/>
  <c r="P15" i="2"/>
  <c r="AA59" i="2"/>
  <c r="Z59" i="2"/>
  <c r="Y59" i="2"/>
  <c r="H59" i="2"/>
  <c r="AA58" i="2"/>
  <c r="Z58" i="2"/>
  <c r="Y58" i="2"/>
  <c r="H58" i="2"/>
  <c r="AA57" i="2"/>
  <c r="Z57" i="2"/>
  <c r="Y57" i="2"/>
  <c r="H57" i="2"/>
  <c r="AA56" i="2"/>
  <c r="Z56" i="2"/>
  <c r="Y56" i="2"/>
  <c r="H56" i="2"/>
  <c r="AA55" i="2"/>
  <c r="Z55" i="2"/>
  <c r="Y55" i="2"/>
  <c r="H55" i="2"/>
  <c r="AA53" i="2"/>
  <c r="Z53" i="2"/>
  <c r="Y53" i="2"/>
  <c r="H53" i="2"/>
  <c r="AA52" i="2"/>
  <c r="Z52" i="2"/>
  <c r="Y52" i="2"/>
  <c r="H52" i="2"/>
  <c r="AA50" i="2"/>
  <c r="Z50" i="2"/>
  <c r="Y50" i="2"/>
  <c r="H50" i="2"/>
  <c r="AA47" i="2"/>
  <c r="Z47" i="2"/>
  <c r="Y47" i="2"/>
  <c r="H47" i="2"/>
  <c r="AA44" i="2"/>
  <c r="Z44" i="2"/>
  <c r="Y44" i="2"/>
  <c r="H44" i="2"/>
  <c r="AA41" i="2"/>
  <c r="Z41" i="2"/>
  <c r="Y41" i="2"/>
  <c r="H41" i="2"/>
  <c r="AA39" i="2"/>
  <c r="Z39" i="2"/>
  <c r="Y39" i="2"/>
  <c r="H39" i="2"/>
  <c r="AA38" i="2"/>
  <c r="Z38" i="2"/>
  <c r="Y38" i="2"/>
  <c r="H38" i="2"/>
  <c r="AA36" i="2"/>
  <c r="Z36" i="2"/>
  <c r="Y36" i="2"/>
  <c r="H36" i="2"/>
  <c r="AA35" i="2"/>
  <c r="Z35" i="2"/>
  <c r="Y35" i="2"/>
  <c r="H35" i="2"/>
  <c r="Z28" i="2"/>
  <c r="Y28" i="2"/>
  <c r="AD59" i="2"/>
  <c r="AC59" i="2"/>
  <c r="AD58" i="2"/>
  <c r="AC58" i="2"/>
  <c r="AD57" i="2"/>
  <c r="AC57" i="2"/>
  <c r="AD56" i="2"/>
  <c r="AC56" i="2"/>
  <c r="AC55" i="2"/>
  <c r="AD55" i="2"/>
  <c r="AD53" i="2"/>
  <c r="AC53" i="2"/>
  <c r="AC52" i="2"/>
  <c r="AD52" i="2"/>
  <c r="AC51" i="2"/>
  <c r="AC50" i="2"/>
  <c r="AC49" i="2"/>
  <c r="AC48" i="2"/>
  <c r="AD47" i="2"/>
  <c r="AC47" i="2"/>
  <c r="AC46" i="2"/>
  <c r="AD44" i="2"/>
  <c r="AC44" i="2"/>
  <c r="AC41" i="2"/>
  <c r="AD41" i="2"/>
  <c r="AD39" i="2"/>
  <c r="AC39" i="2"/>
  <c r="AC35" i="2"/>
  <c r="AD11" i="2"/>
  <c r="AD7" i="2"/>
  <c r="K7" i="2"/>
  <c r="AD10" i="2"/>
  <c r="AC11" i="2"/>
  <c r="K11" i="2"/>
  <c r="AC7" i="2"/>
  <c r="AD8" i="2"/>
  <c r="AC34" i="2"/>
  <c r="AD37" i="2"/>
  <c r="AC38" i="2"/>
  <c r="H33" i="2"/>
  <c r="Z33" i="2"/>
  <c r="H34" i="2"/>
  <c r="Z34" i="2"/>
  <c r="H37" i="2"/>
  <c r="Z37" i="2"/>
  <c r="AD34" i="2"/>
  <c r="K34" i="2"/>
  <c r="AD38" i="2"/>
  <c r="K38" i="2"/>
  <c r="Y33" i="2"/>
  <c r="I33" i="2"/>
  <c r="AA33" i="2"/>
  <c r="L33" i="2"/>
  <c r="Y34" i="2"/>
  <c r="I34" i="2"/>
  <c r="AA34" i="2"/>
  <c r="L34" i="2"/>
  <c r="Y37" i="2"/>
  <c r="I37" i="2"/>
  <c r="AA37" i="2"/>
  <c r="L37" i="2"/>
  <c r="AD33" i="2"/>
  <c r="AC33" i="2"/>
  <c r="AC10" i="2"/>
  <c r="AC8" i="2"/>
  <c r="AD13" i="2"/>
  <c r="AD29" i="2"/>
  <c r="H25" i="2"/>
  <c r="Z25" i="2"/>
  <c r="H27" i="2"/>
  <c r="Z27" i="2"/>
  <c r="H29" i="2"/>
  <c r="Z29" i="2"/>
  <c r="H30" i="2"/>
  <c r="Z30" i="2"/>
  <c r="AC12" i="2"/>
  <c r="AC9" i="2"/>
  <c r="AD12" i="2"/>
  <c r="AD9" i="2"/>
  <c r="AD30" i="2"/>
  <c r="AC30" i="2"/>
  <c r="Y25" i="2"/>
  <c r="I25" i="2"/>
  <c r="AA25" i="2"/>
  <c r="Y27" i="2"/>
  <c r="AA27" i="2"/>
  <c r="Y29" i="2"/>
  <c r="I29" i="2"/>
  <c r="AA29" i="2"/>
  <c r="L29" i="2"/>
  <c r="Y30" i="2"/>
  <c r="AA30" i="2"/>
  <c r="AC16" i="2"/>
  <c r="AC19" i="2"/>
  <c r="L35" i="2"/>
  <c r="L50" i="2"/>
  <c r="AC13" i="2"/>
  <c r="K47" i="2"/>
  <c r="L44" i="2"/>
  <c r="L58" i="2"/>
  <c r="AD21" i="2"/>
  <c r="AD40" i="2"/>
  <c r="AD48" i="2"/>
  <c r="K48" i="2"/>
  <c r="AD42" i="2"/>
  <c r="AD43" i="2"/>
  <c r="H18" i="2"/>
  <c r="Z18" i="2"/>
  <c r="H21" i="2"/>
  <c r="H40" i="2"/>
  <c r="Z21" i="2"/>
  <c r="Z40" i="2"/>
  <c r="H45" i="2"/>
  <c r="H46" i="2"/>
  <c r="Z22" i="2"/>
  <c r="Z46" i="2"/>
  <c r="Z45" i="2"/>
  <c r="H49" i="2"/>
  <c r="H51" i="2"/>
  <c r="Z49" i="2"/>
  <c r="Z51" i="2"/>
  <c r="H54" i="2"/>
  <c r="Z23" i="2"/>
  <c r="Z54" i="2"/>
  <c r="H24" i="2"/>
  <c r="H60" i="2"/>
  <c r="Z24" i="2"/>
  <c r="Z60" i="2"/>
  <c r="AD17" i="2"/>
  <c r="AC17" i="2"/>
  <c r="K41" i="2"/>
  <c r="K44" i="2"/>
  <c r="AC22" i="2"/>
  <c r="AC45" i="2"/>
  <c r="Y18" i="2"/>
  <c r="AA18" i="2"/>
  <c r="I38" i="2"/>
  <c r="L38" i="2"/>
  <c r="Y21" i="2"/>
  <c r="Y40" i="2"/>
  <c r="AA21" i="2"/>
  <c r="AA40" i="2"/>
  <c r="I41" i="2"/>
  <c r="L41" i="2"/>
  <c r="I44" i="2"/>
  <c r="Y22" i="2"/>
  <c r="Y45" i="2"/>
  <c r="Y46" i="2"/>
  <c r="AA22" i="2"/>
  <c r="AA45" i="2"/>
  <c r="AA46" i="2"/>
  <c r="L46" i="2"/>
  <c r="Y49" i="2"/>
  <c r="Y51" i="2"/>
  <c r="AA49" i="2"/>
  <c r="L49" i="2"/>
  <c r="AA51" i="2"/>
  <c r="I52" i="2"/>
  <c r="L52" i="2"/>
  <c r="Y23" i="2"/>
  <c r="Y54" i="2"/>
  <c r="AA23" i="2"/>
  <c r="AA54" i="2"/>
  <c r="I55" i="2"/>
  <c r="L55" i="2"/>
  <c r="I57" i="2"/>
  <c r="L57" i="2"/>
  <c r="I58" i="2"/>
  <c r="Y24" i="2"/>
  <c r="Y60" i="2"/>
  <c r="AA24" i="2"/>
  <c r="AA60" i="2"/>
  <c r="AC14" i="2"/>
  <c r="AC18" i="2"/>
  <c r="AC32" i="2"/>
  <c r="AC31" i="2"/>
  <c r="AD22" i="2"/>
  <c r="AD46" i="2"/>
  <c r="K46" i="2"/>
  <c r="AD45" i="2"/>
  <c r="AC23" i="2"/>
  <c r="AC54" i="2"/>
  <c r="AC24" i="2"/>
  <c r="AC60" i="2"/>
  <c r="H19" i="2"/>
  <c r="Z19" i="2"/>
  <c r="H31" i="2"/>
  <c r="H32" i="2"/>
  <c r="Z32" i="2"/>
  <c r="Z31" i="2"/>
  <c r="H48" i="2"/>
  <c r="H42" i="2"/>
  <c r="H43" i="2"/>
  <c r="Z48" i="2"/>
  <c r="Z42" i="2"/>
  <c r="Z43" i="2"/>
  <c r="H28" i="2"/>
  <c r="I28" i="2"/>
  <c r="I50" i="2"/>
  <c r="AC15" i="2"/>
  <c r="AD16" i="2"/>
  <c r="AD18" i="2"/>
  <c r="AD19" i="2"/>
  <c r="AC20" i="2"/>
  <c r="AC29" i="2"/>
  <c r="AD31" i="2"/>
  <c r="AD32" i="2"/>
  <c r="AD35" i="2"/>
  <c r="K35" i="2"/>
  <c r="AD36" i="2"/>
  <c r="AC37" i="2"/>
  <c r="AC36" i="2"/>
  <c r="K39" i="2"/>
  <c r="AC21" i="2"/>
  <c r="AC40" i="2"/>
  <c r="AC42" i="2"/>
  <c r="AC43" i="2"/>
  <c r="AD49" i="2"/>
  <c r="K49" i="2"/>
  <c r="AD51" i="2"/>
  <c r="K51" i="2"/>
  <c r="K52" i="2"/>
  <c r="K53" i="2"/>
  <c r="AD23" i="2"/>
  <c r="AD54" i="2"/>
  <c r="K55" i="2"/>
  <c r="K56" i="2"/>
  <c r="K57" i="2"/>
  <c r="K58" i="2"/>
  <c r="K59" i="2"/>
  <c r="AD24" i="2"/>
  <c r="AD60" i="2"/>
  <c r="AD28" i="2"/>
  <c r="Y19" i="2"/>
  <c r="AA19" i="2"/>
  <c r="Y32" i="2"/>
  <c r="Y31" i="2"/>
  <c r="AA31" i="2"/>
  <c r="AA32" i="2"/>
  <c r="L32" i="2"/>
  <c r="I35" i="2"/>
  <c r="I36" i="2"/>
  <c r="L36" i="2"/>
  <c r="I39" i="2"/>
  <c r="L39" i="2"/>
  <c r="Y48" i="2"/>
  <c r="I48" i="2"/>
  <c r="Y43" i="2"/>
  <c r="Y42" i="2"/>
  <c r="AA48" i="2"/>
  <c r="L48" i="2"/>
  <c r="AA43" i="2"/>
  <c r="AA42" i="2"/>
  <c r="I47" i="2"/>
  <c r="L47" i="2"/>
  <c r="I53" i="2"/>
  <c r="L53" i="2"/>
  <c r="I56" i="2"/>
  <c r="L56" i="2"/>
  <c r="I59" i="2"/>
  <c r="L59" i="2"/>
  <c r="AA28" i="2"/>
  <c r="L28" i="2"/>
  <c r="AA26" i="2"/>
  <c r="Z26" i="2"/>
  <c r="Y26" i="2"/>
  <c r="H26" i="2"/>
  <c r="AC25" i="2"/>
  <c r="AC27" i="2"/>
  <c r="AC26" i="2"/>
  <c r="AC28" i="2"/>
  <c r="AD25" i="2"/>
  <c r="AD27" i="2"/>
  <c r="AD20" i="2"/>
  <c r="H20" i="2"/>
  <c r="Z20" i="2"/>
  <c r="Y20" i="2"/>
  <c r="AA20" i="2"/>
  <c r="AD50" i="2"/>
  <c r="K50" i="2"/>
  <c r="AD26" i="2"/>
  <c r="AD14" i="2"/>
  <c r="AD15" i="2"/>
  <c r="K27" i="2"/>
  <c r="K18" i="2"/>
  <c r="L30" i="2"/>
  <c r="I31" i="2"/>
  <c r="I27" i="2"/>
  <c r="K25" i="2"/>
  <c r="L25" i="2"/>
  <c r="L27" i="2"/>
  <c r="K31" i="2"/>
  <c r="I30" i="2"/>
  <c r="K10" i="2"/>
  <c r="K8" i="2"/>
  <c r="K37" i="2"/>
  <c r="K19" i="2"/>
  <c r="I21" i="2"/>
  <c r="I40" i="2"/>
  <c r="K12" i="2"/>
  <c r="L40" i="2"/>
  <c r="L18" i="2"/>
  <c r="K33" i="2"/>
  <c r="I18" i="2"/>
  <c r="K30" i="2"/>
  <c r="L19" i="2"/>
  <c r="K29" i="2"/>
  <c r="K22" i="2"/>
  <c r="L21" i="2"/>
  <c r="K13" i="2"/>
  <c r="K9" i="2"/>
  <c r="I22" i="2"/>
  <c r="I24" i="2"/>
  <c r="K26" i="2"/>
  <c r="K16" i="2"/>
  <c r="K24" i="2"/>
  <c r="I19" i="2"/>
  <c r="K23" i="2"/>
  <c r="I60" i="2"/>
  <c r="K45" i="2"/>
  <c r="I54" i="2"/>
  <c r="K15" i="2"/>
  <c r="K21" i="2"/>
  <c r="L51" i="2"/>
  <c r="I45" i="2"/>
  <c r="K14" i="2"/>
  <c r="L60" i="2"/>
  <c r="L45" i="2"/>
  <c r="K20" i="2"/>
  <c r="K28" i="2"/>
  <c r="L42" i="2"/>
  <c r="I43" i="2"/>
  <c r="L31" i="2"/>
  <c r="K32" i="2"/>
  <c r="L43" i="2"/>
  <c r="L24" i="2"/>
  <c r="L54" i="2"/>
  <c r="I51" i="2"/>
  <c r="L22" i="2"/>
  <c r="I23" i="2"/>
  <c r="I49" i="2"/>
  <c r="K40" i="2"/>
  <c r="L23" i="2"/>
  <c r="I32" i="2"/>
  <c r="K60" i="2"/>
  <c r="K36" i="2"/>
  <c r="K42" i="2"/>
  <c r="I42" i="2"/>
  <c r="K17" i="2"/>
  <c r="K54" i="2"/>
  <c r="I46" i="2"/>
  <c r="K43" i="2"/>
  <c r="L20" i="2"/>
  <c r="I26" i="2"/>
  <c r="L26" i="2"/>
  <c r="I20" i="2"/>
  <c r="Y12" i="2"/>
  <c r="H11" i="2"/>
  <c r="AA10" i="2"/>
  <c r="Y9" i="2"/>
  <c r="H9" i="2"/>
  <c r="AA11" i="2"/>
  <c r="H15" i="2"/>
  <c r="H7" i="2"/>
  <c r="Y8" i="2"/>
  <c r="H12" i="2"/>
  <c r="AA12" i="2"/>
  <c r="Z11" i="2"/>
  <c r="AA9" i="2"/>
  <c r="Z9" i="2"/>
  <c r="Z15" i="2"/>
  <c r="Y15" i="2"/>
  <c r="Z8" i="2"/>
  <c r="AA7" i="2"/>
  <c r="Z12" i="2"/>
  <c r="H13" i="2"/>
  <c r="H10" i="2"/>
  <c r="Z13" i="2"/>
  <c r="Y13" i="2"/>
  <c r="AA15" i="2"/>
  <c r="Z7" i="2"/>
  <c r="AA8" i="2"/>
  <c r="Y10" i="2"/>
  <c r="Z10" i="2"/>
  <c r="Y11" i="2"/>
  <c r="AA13" i="2"/>
  <c r="H8" i="2"/>
  <c r="Y7" i="2"/>
  <c r="I7" i="2"/>
  <c r="L15" i="2"/>
  <c r="I9" i="2"/>
  <c r="I10" i="2"/>
  <c r="L8" i="2"/>
  <c r="L7" i="2"/>
  <c r="L12" i="2"/>
  <c r="L11" i="2"/>
  <c r="I11" i="2"/>
  <c r="I12" i="2"/>
  <c r="I15" i="2"/>
  <c r="L9" i="2"/>
  <c r="I8" i="2"/>
  <c r="L10" i="2"/>
  <c r="L13" i="2"/>
  <c r="I13" i="2"/>
  <c r="Y17" i="2"/>
  <c r="AA16" i="2"/>
  <c r="Z17" i="2"/>
  <c r="H17" i="2"/>
  <c r="Z16" i="2"/>
  <c r="H16" i="2"/>
  <c r="Y16" i="2"/>
  <c r="AA17" i="2"/>
  <c r="AA14" i="2"/>
  <c r="Z14" i="2"/>
  <c r="Y14" i="2"/>
  <c r="H14" i="2"/>
  <c r="L17" i="2"/>
  <c r="L16" i="2"/>
  <c r="I16" i="2"/>
  <c r="I17" i="2"/>
  <c r="I14" i="2"/>
  <c r="L14" i="2"/>
  <c r="A130" i="14"/>
  <c r="B130" i="14"/>
  <c r="C130" i="14"/>
  <c r="J130" i="14"/>
  <c r="A131" i="14"/>
  <c r="B131" i="14"/>
  <c r="C131" i="14"/>
  <c r="A132" i="14"/>
  <c r="B132" i="14"/>
  <c r="C132" i="14"/>
  <c r="J132" i="14"/>
  <c r="A133" i="14"/>
  <c r="B133" i="14"/>
  <c r="C133" i="14"/>
  <c r="A134" i="14"/>
  <c r="B134" i="14"/>
  <c r="C134" i="14"/>
  <c r="J134" i="14"/>
  <c r="A135" i="14"/>
  <c r="B135" i="14"/>
  <c r="C135" i="14"/>
  <c r="A136" i="14"/>
  <c r="B136" i="14"/>
  <c r="C136" i="14"/>
  <c r="J136" i="14"/>
  <c r="A137" i="14"/>
  <c r="B137" i="14"/>
  <c r="C137" i="14"/>
  <c r="A138" i="14"/>
  <c r="B138" i="14"/>
  <c r="C138" i="14"/>
  <c r="J138" i="14"/>
  <c r="A139" i="14"/>
  <c r="B139" i="14"/>
  <c r="C139" i="14"/>
  <c r="A140" i="14"/>
  <c r="B140" i="14"/>
  <c r="C140" i="14"/>
  <c r="J140" i="14"/>
  <c r="A141" i="14"/>
  <c r="B141" i="14"/>
  <c r="C141" i="14"/>
  <c r="A142" i="14"/>
  <c r="B142" i="14"/>
  <c r="C142" i="14"/>
  <c r="J142" i="14"/>
  <c r="B129" i="14"/>
  <c r="C129" i="14"/>
  <c r="B128" i="14"/>
  <c r="C128" i="14"/>
  <c r="J128" i="14"/>
  <c r="B127" i="14"/>
  <c r="C127" i="14"/>
  <c r="B126" i="14"/>
  <c r="C126" i="14"/>
  <c r="J126" i="14"/>
  <c r="B125" i="14"/>
  <c r="C125" i="14"/>
  <c r="B124" i="14"/>
  <c r="C124" i="14"/>
  <c r="J124" i="14"/>
  <c r="B123" i="14"/>
  <c r="C123" i="14"/>
  <c r="B122" i="14"/>
  <c r="C122" i="14"/>
  <c r="J122" i="14"/>
  <c r="B121" i="14"/>
  <c r="C121" i="14"/>
  <c r="B120" i="14"/>
  <c r="B119" i="14"/>
  <c r="B118" i="14"/>
  <c r="B117" i="14"/>
  <c r="B116" i="14"/>
  <c r="B115" i="14"/>
  <c r="B114" i="14"/>
  <c r="B113" i="14"/>
  <c r="B112" i="14"/>
  <c r="B111" i="14"/>
  <c r="B110" i="14"/>
  <c r="B109" i="14"/>
  <c r="B108" i="14"/>
  <c r="B107" i="14"/>
  <c r="B106" i="14"/>
  <c r="B63" i="14"/>
  <c r="B62" i="14"/>
  <c r="B61" i="14"/>
  <c r="B60" i="14"/>
  <c r="B59" i="14"/>
  <c r="B48" i="14"/>
  <c r="B47" i="14"/>
  <c r="B46" i="14"/>
  <c r="B45" i="14"/>
  <c r="B44" i="14"/>
  <c r="B43" i="14"/>
  <c r="B42" i="14"/>
  <c r="B41" i="14"/>
  <c r="B40" i="14"/>
  <c r="B39" i="14"/>
  <c r="B38" i="14"/>
  <c r="B37" i="14"/>
  <c r="B36" i="14"/>
  <c r="B35" i="14"/>
  <c r="B34" i="14"/>
  <c r="B33" i="14"/>
  <c r="B32" i="14"/>
  <c r="B31" i="14"/>
  <c r="K121" i="14"/>
  <c r="J121" i="14"/>
  <c r="F121" i="14"/>
  <c r="H121" i="14"/>
  <c r="D121" i="14"/>
  <c r="K123" i="14"/>
  <c r="J123" i="14"/>
  <c r="F123" i="14"/>
  <c r="H123" i="14"/>
  <c r="D123" i="14"/>
  <c r="K125" i="14"/>
  <c r="J125" i="14"/>
  <c r="F125" i="14"/>
  <c r="H125" i="14"/>
  <c r="D125" i="14"/>
  <c r="K127" i="14"/>
  <c r="J127" i="14"/>
  <c r="F127" i="14"/>
  <c r="H127" i="14"/>
  <c r="D127" i="14"/>
  <c r="K129" i="14"/>
  <c r="J129" i="14"/>
  <c r="F129" i="14"/>
  <c r="H129" i="14"/>
  <c r="D129" i="14"/>
  <c r="K141" i="14"/>
  <c r="J141" i="14"/>
  <c r="F141" i="14"/>
  <c r="H141" i="14"/>
  <c r="D141" i="14"/>
  <c r="K139" i="14"/>
  <c r="J139" i="14"/>
  <c r="F139" i="14"/>
  <c r="H139" i="14"/>
  <c r="D139" i="14"/>
  <c r="K137" i="14"/>
  <c r="J137" i="14"/>
  <c r="F137" i="14"/>
  <c r="H137" i="14"/>
  <c r="D137" i="14"/>
  <c r="K135" i="14"/>
  <c r="J135" i="14"/>
  <c r="F135" i="14"/>
  <c r="H135" i="14"/>
  <c r="D135" i="14"/>
  <c r="K133" i="14"/>
  <c r="J133" i="14"/>
  <c r="F133" i="14"/>
  <c r="H133" i="14"/>
  <c r="D133" i="14"/>
  <c r="K131" i="14"/>
  <c r="J131" i="14"/>
  <c r="F131" i="14"/>
  <c r="H131" i="14"/>
  <c r="D131" i="14"/>
  <c r="E122" i="14"/>
  <c r="G122" i="14"/>
  <c r="I122" i="14"/>
  <c r="K122" i="14"/>
  <c r="E124" i="14"/>
  <c r="G124" i="14"/>
  <c r="I124" i="14"/>
  <c r="K124" i="14"/>
  <c r="E126" i="14"/>
  <c r="G126" i="14"/>
  <c r="I126" i="14"/>
  <c r="K126" i="14"/>
  <c r="E128" i="14"/>
  <c r="G128" i="14"/>
  <c r="I128" i="14"/>
  <c r="K128" i="14"/>
  <c r="E130" i="14"/>
  <c r="G130" i="14"/>
  <c r="I130" i="14"/>
  <c r="K130" i="14"/>
  <c r="E132" i="14"/>
  <c r="G132" i="14"/>
  <c r="I132" i="14"/>
  <c r="K132" i="14"/>
  <c r="E134" i="14"/>
  <c r="G134" i="14"/>
  <c r="I134" i="14"/>
  <c r="K134" i="14"/>
  <c r="E136" i="14"/>
  <c r="G136" i="14"/>
  <c r="I136" i="14"/>
  <c r="K136" i="14"/>
  <c r="E138" i="14"/>
  <c r="G138" i="14"/>
  <c r="I138" i="14"/>
  <c r="K138" i="14"/>
  <c r="E140" i="14"/>
  <c r="G140" i="14"/>
  <c r="I140" i="14"/>
  <c r="K140" i="14"/>
  <c r="E142" i="14"/>
  <c r="G142" i="14"/>
  <c r="I142" i="14"/>
  <c r="K142" i="14"/>
  <c r="E121" i="14"/>
  <c r="G121" i="14"/>
  <c r="I121" i="14"/>
  <c r="D122" i="14"/>
  <c r="F122" i="14"/>
  <c r="H122" i="14"/>
  <c r="E123" i="14"/>
  <c r="G123" i="14"/>
  <c r="I123" i="14"/>
  <c r="D124" i="14"/>
  <c r="F124" i="14"/>
  <c r="H124" i="14"/>
  <c r="E125" i="14"/>
  <c r="G125" i="14"/>
  <c r="I125" i="14"/>
  <c r="D126" i="14"/>
  <c r="F126" i="14"/>
  <c r="H126" i="14"/>
  <c r="E127" i="14"/>
  <c r="G127" i="14"/>
  <c r="I127" i="14"/>
  <c r="D128" i="14"/>
  <c r="F128" i="14"/>
  <c r="H128" i="14"/>
  <c r="E129" i="14"/>
  <c r="G129" i="14"/>
  <c r="I129" i="14"/>
  <c r="D130" i="14"/>
  <c r="F130" i="14"/>
  <c r="H130" i="14"/>
  <c r="E131" i="14"/>
  <c r="G131" i="14"/>
  <c r="I131" i="14"/>
  <c r="D132" i="14"/>
  <c r="F132" i="14"/>
  <c r="H132" i="14"/>
  <c r="E133" i="14"/>
  <c r="G133" i="14"/>
  <c r="I133" i="14"/>
  <c r="D134" i="14"/>
  <c r="F134" i="14"/>
  <c r="H134" i="14"/>
  <c r="E135" i="14"/>
  <c r="G135" i="14"/>
  <c r="I135" i="14"/>
  <c r="D136" i="14"/>
  <c r="F136" i="14"/>
  <c r="H136" i="14"/>
  <c r="E137" i="14"/>
  <c r="G137" i="14"/>
  <c r="I137" i="14"/>
  <c r="D138" i="14"/>
  <c r="F138" i="14"/>
  <c r="H138" i="14"/>
  <c r="E139" i="14"/>
  <c r="G139" i="14"/>
  <c r="I139" i="14"/>
  <c r="D140" i="14"/>
  <c r="F140" i="14"/>
  <c r="H140" i="14"/>
  <c r="E141" i="14"/>
  <c r="G141" i="14"/>
  <c r="I141" i="14"/>
  <c r="D142" i="14"/>
  <c r="F142" i="14"/>
  <c r="H142" i="14"/>
  <c r="B53" i="14"/>
  <c r="A4" i="14"/>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B54" i="14"/>
  <c r="B10" i="14"/>
  <c r="O1" i="14"/>
  <c r="O2" i="14"/>
  <c r="M2" i="14"/>
  <c r="C120" i="14"/>
  <c r="C119" i="14"/>
  <c r="C118" i="14"/>
  <c r="C117" i="14"/>
  <c r="C116" i="14"/>
  <c r="C115" i="14"/>
  <c r="C114" i="14"/>
  <c r="C113" i="14"/>
  <c r="C112" i="14"/>
  <c r="C111" i="14"/>
  <c r="C110" i="14"/>
  <c r="C109" i="14"/>
  <c r="C108" i="14"/>
  <c r="C107" i="14"/>
  <c r="C106" i="14"/>
  <c r="B105" i="14"/>
  <c r="C105" i="14"/>
  <c r="B104" i="14"/>
  <c r="C104" i="14"/>
  <c r="B103" i="14"/>
  <c r="C103" i="14"/>
  <c r="B102" i="14"/>
  <c r="C102" i="14"/>
  <c r="B101" i="14"/>
  <c r="C101" i="14"/>
  <c r="B100" i="14"/>
  <c r="C100" i="14"/>
  <c r="B99" i="14"/>
  <c r="C99" i="14"/>
  <c r="B98" i="14"/>
  <c r="C98" i="14"/>
  <c r="B97" i="14"/>
  <c r="C97" i="14"/>
  <c r="B96" i="14"/>
  <c r="C96" i="14"/>
  <c r="B95" i="14"/>
  <c r="C95" i="14"/>
  <c r="B94" i="14"/>
  <c r="C94" i="14"/>
  <c r="B93" i="14"/>
  <c r="C93" i="14"/>
  <c r="B92" i="14"/>
  <c r="C92" i="14"/>
  <c r="B91" i="14"/>
  <c r="C91" i="14"/>
  <c r="B90" i="14"/>
  <c r="C90" i="14"/>
  <c r="B89" i="14"/>
  <c r="C89" i="14"/>
  <c r="B88" i="14"/>
  <c r="C88" i="14"/>
  <c r="B87" i="14"/>
  <c r="C87" i="14"/>
  <c r="B86" i="14"/>
  <c r="C86" i="14"/>
  <c r="B85" i="14"/>
  <c r="C85" i="14"/>
  <c r="B84" i="14"/>
  <c r="C84" i="14"/>
  <c r="B83" i="14"/>
  <c r="C83" i="14"/>
  <c r="B82" i="14"/>
  <c r="C82" i="14"/>
  <c r="B81" i="14"/>
  <c r="C81" i="14"/>
  <c r="B80" i="14"/>
  <c r="C80" i="14"/>
  <c r="B79" i="14"/>
  <c r="C79" i="14"/>
  <c r="B78" i="14"/>
  <c r="C78" i="14"/>
  <c r="B77" i="14"/>
  <c r="C77" i="14"/>
  <c r="B76" i="14"/>
  <c r="C76" i="14"/>
  <c r="B75" i="14"/>
  <c r="C75" i="14"/>
  <c r="B74" i="14"/>
  <c r="C74" i="14"/>
  <c r="B73" i="14"/>
  <c r="C73" i="14"/>
  <c r="B72" i="14"/>
  <c r="C72" i="14"/>
  <c r="B71" i="14"/>
  <c r="C71" i="14"/>
  <c r="B70" i="14"/>
  <c r="C70" i="14"/>
  <c r="B69" i="14"/>
  <c r="C69" i="14"/>
  <c r="B68" i="14"/>
  <c r="C68" i="14"/>
  <c r="B67" i="14"/>
  <c r="C67" i="14"/>
  <c r="B66" i="14"/>
  <c r="C66" i="14"/>
  <c r="B65" i="14"/>
  <c r="C65" i="14"/>
  <c r="B64" i="14"/>
  <c r="C64" i="14"/>
  <c r="C63" i="14"/>
  <c r="C62" i="14"/>
  <c r="C61" i="14"/>
  <c r="C60" i="14"/>
  <c r="C59" i="14"/>
  <c r="B52" i="14"/>
  <c r="B51" i="14"/>
  <c r="B50" i="14"/>
  <c r="B49" i="14"/>
  <c r="B30" i="14"/>
  <c r="B29" i="14"/>
  <c r="B28" i="14"/>
  <c r="B27" i="14"/>
  <c r="B26" i="14"/>
  <c r="B25" i="14"/>
  <c r="B24" i="14"/>
  <c r="B23" i="14"/>
  <c r="B22" i="14"/>
  <c r="B21" i="14"/>
  <c r="B20" i="14"/>
  <c r="B19" i="14"/>
  <c r="B18" i="14"/>
  <c r="B17" i="14"/>
  <c r="B16" i="14"/>
  <c r="B15" i="14"/>
  <c r="B14" i="14"/>
  <c r="B13" i="14"/>
  <c r="B12" i="14"/>
  <c r="B11" i="14"/>
  <c r="B9" i="14"/>
  <c r="B8" i="14"/>
  <c r="B7" i="14"/>
  <c r="B6" i="14"/>
  <c r="B5" i="14"/>
  <c r="B4" i="14"/>
  <c r="B3" i="14"/>
  <c r="J120" i="14"/>
  <c r="H120" i="14"/>
  <c r="F120" i="14"/>
  <c r="K120" i="14"/>
  <c r="I120" i="14"/>
  <c r="G120" i="14"/>
  <c r="E120" i="14"/>
  <c r="J60" i="14"/>
  <c r="K60" i="14"/>
  <c r="J62" i="14"/>
  <c r="K62" i="14"/>
  <c r="J64" i="14"/>
  <c r="K64" i="14"/>
  <c r="J66" i="14"/>
  <c r="K66" i="14"/>
  <c r="J68" i="14"/>
  <c r="K68" i="14"/>
  <c r="J70" i="14"/>
  <c r="K70" i="14"/>
  <c r="J72" i="14"/>
  <c r="K72" i="14"/>
  <c r="J74" i="14"/>
  <c r="K74" i="14"/>
  <c r="J76" i="14"/>
  <c r="K76" i="14"/>
  <c r="J78" i="14"/>
  <c r="K78" i="14"/>
  <c r="J80" i="14"/>
  <c r="K80" i="14"/>
  <c r="J82" i="14"/>
  <c r="K82" i="14"/>
  <c r="J84" i="14"/>
  <c r="K84" i="14"/>
  <c r="J86" i="14"/>
  <c r="K86" i="14"/>
  <c r="J88" i="14"/>
  <c r="K88" i="14"/>
  <c r="J90" i="14"/>
  <c r="K90" i="14"/>
  <c r="J92" i="14"/>
  <c r="K92" i="14"/>
  <c r="J94" i="14"/>
  <c r="K94" i="14"/>
  <c r="J96" i="14"/>
  <c r="K96" i="14"/>
  <c r="J98" i="14"/>
  <c r="K98" i="14"/>
  <c r="J100" i="14"/>
  <c r="K100" i="14"/>
  <c r="J102" i="14"/>
  <c r="K102" i="14"/>
  <c r="J104" i="14"/>
  <c r="K104" i="14"/>
  <c r="J106" i="14"/>
  <c r="K106" i="14"/>
  <c r="J108" i="14"/>
  <c r="K108" i="14"/>
  <c r="J110" i="14"/>
  <c r="K110" i="14"/>
  <c r="J112" i="14"/>
  <c r="K112" i="14"/>
  <c r="J114" i="14"/>
  <c r="K114" i="14"/>
  <c r="J116" i="14"/>
  <c r="K116" i="14"/>
  <c r="J118" i="14"/>
  <c r="K118" i="14"/>
  <c r="J59" i="14"/>
  <c r="K59" i="14"/>
  <c r="J61" i="14"/>
  <c r="K61" i="14"/>
  <c r="J63" i="14"/>
  <c r="K63" i="14"/>
  <c r="J65" i="14"/>
  <c r="K65" i="14"/>
  <c r="J67" i="14"/>
  <c r="K67" i="14"/>
  <c r="J69" i="14"/>
  <c r="K69" i="14"/>
  <c r="J71" i="14"/>
  <c r="K71" i="14"/>
  <c r="J73" i="14"/>
  <c r="K73" i="14"/>
  <c r="J75" i="14"/>
  <c r="K75" i="14"/>
  <c r="J77" i="14"/>
  <c r="K77" i="14"/>
  <c r="J79" i="14"/>
  <c r="K79" i="14"/>
  <c r="J81" i="14"/>
  <c r="K81" i="14"/>
  <c r="J83" i="14"/>
  <c r="K83" i="14"/>
  <c r="J85" i="14"/>
  <c r="K85" i="14"/>
  <c r="J87" i="14"/>
  <c r="K87" i="14"/>
  <c r="J89" i="14"/>
  <c r="K89" i="14"/>
  <c r="J91" i="14"/>
  <c r="K91" i="14"/>
  <c r="J93" i="14"/>
  <c r="K93" i="14"/>
  <c r="J95" i="14"/>
  <c r="K95" i="14"/>
  <c r="J97" i="14"/>
  <c r="K97" i="14"/>
  <c r="J99" i="14"/>
  <c r="K99" i="14"/>
  <c r="J101" i="14"/>
  <c r="K101" i="14"/>
  <c r="J103" i="14"/>
  <c r="K103" i="14"/>
  <c r="J105" i="14"/>
  <c r="K105" i="14"/>
  <c r="J107" i="14"/>
  <c r="K107" i="14"/>
  <c r="J109" i="14"/>
  <c r="K109" i="14"/>
  <c r="J111" i="14"/>
  <c r="K111" i="14"/>
  <c r="J113" i="14"/>
  <c r="K113" i="14"/>
  <c r="J115" i="14"/>
  <c r="K115" i="14"/>
  <c r="J117" i="14"/>
  <c r="K117" i="14"/>
  <c r="J119" i="14"/>
  <c r="K119" i="14"/>
  <c r="H62" i="14"/>
  <c r="F62" i="14"/>
  <c r="E62" i="14"/>
  <c r="I62" i="14"/>
  <c r="G62" i="14"/>
  <c r="D62" i="14"/>
  <c r="H66" i="14"/>
  <c r="D66" i="14"/>
  <c r="F66" i="14"/>
  <c r="E66" i="14"/>
  <c r="I66" i="14"/>
  <c r="G66" i="14"/>
  <c r="H70" i="14"/>
  <c r="D70" i="14"/>
  <c r="F70" i="14"/>
  <c r="E70" i="14"/>
  <c r="I70" i="14"/>
  <c r="G70" i="14"/>
  <c r="H74" i="14"/>
  <c r="D74" i="14"/>
  <c r="F74" i="14"/>
  <c r="E74" i="14"/>
  <c r="I74" i="14"/>
  <c r="G74" i="14"/>
  <c r="H78" i="14"/>
  <c r="D78" i="14"/>
  <c r="F78" i="14"/>
  <c r="E78" i="14"/>
  <c r="I78" i="14"/>
  <c r="G78" i="14"/>
  <c r="H82" i="14"/>
  <c r="D82" i="14"/>
  <c r="F82" i="14"/>
  <c r="E82" i="14"/>
  <c r="I82" i="14"/>
  <c r="G82" i="14"/>
  <c r="H86" i="14"/>
  <c r="I86" i="14"/>
  <c r="D86" i="14"/>
  <c r="F86" i="14"/>
  <c r="E86" i="14"/>
  <c r="G86" i="14"/>
  <c r="H90" i="14"/>
  <c r="D90" i="14"/>
  <c r="F90" i="14"/>
  <c r="I90" i="14"/>
  <c r="G90" i="14"/>
  <c r="E90" i="14"/>
  <c r="H94" i="14"/>
  <c r="D94" i="14"/>
  <c r="I94" i="14"/>
  <c r="F94" i="14"/>
  <c r="G94" i="14"/>
  <c r="E94" i="14"/>
  <c r="H98" i="14"/>
  <c r="D98" i="14"/>
  <c r="F98" i="14"/>
  <c r="I98" i="14"/>
  <c r="G98" i="14"/>
  <c r="E98" i="14"/>
  <c r="H102" i="14"/>
  <c r="D102" i="14"/>
  <c r="I102" i="14"/>
  <c r="F102" i="14"/>
  <c r="E102" i="14"/>
  <c r="G102" i="14"/>
  <c r="F106" i="14"/>
  <c r="H106" i="14"/>
  <c r="D106" i="14"/>
  <c r="G106" i="14"/>
  <c r="E106" i="14"/>
  <c r="I106" i="14"/>
  <c r="F110" i="14"/>
  <c r="H110" i="14"/>
  <c r="D110" i="14"/>
  <c r="G110" i="14"/>
  <c r="I110" i="14"/>
  <c r="E110" i="14"/>
  <c r="F114" i="14"/>
  <c r="H114" i="14"/>
  <c r="D114" i="14"/>
  <c r="G114" i="14"/>
  <c r="E114" i="14"/>
  <c r="I114" i="14"/>
  <c r="F118" i="14"/>
  <c r="H118" i="14"/>
  <c r="D118" i="14"/>
  <c r="G118" i="14"/>
  <c r="I118" i="14"/>
  <c r="E118" i="14"/>
  <c r="H59" i="14"/>
  <c r="D59" i="14"/>
  <c r="G59" i="14"/>
  <c r="E59" i="14"/>
  <c r="F59" i="14"/>
  <c r="I59" i="14"/>
  <c r="F63" i="14"/>
  <c r="H63" i="14"/>
  <c r="D63" i="14"/>
  <c r="G63" i="14"/>
  <c r="I63" i="14"/>
  <c r="E63" i="14"/>
  <c r="F67" i="14"/>
  <c r="H67" i="14"/>
  <c r="D67" i="14"/>
  <c r="G67" i="14"/>
  <c r="E67" i="14"/>
  <c r="I67" i="14"/>
  <c r="F71" i="14"/>
  <c r="H71" i="14"/>
  <c r="D71" i="14"/>
  <c r="G71" i="14"/>
  <c r="E71" i="14"/>
  <c r="I71" i="14"/>
  <c r="F75" i="14"/>
  <c r="H75" i="14"/>
  <c r="D75" i="14"/>
  <c r="G75" i="14"/>
  <c r="E75" i="14"/>
  <c r="I75" i="14"/>
  <c r="F79" i="14"/>
  <c r="H79" i="14"/>
  <c r="D79" i="14"/>
  <c r="G79" i="14"/>
  <c r="E79" i="14"/>
  <c r="I79" i="14"/>
  <c r="F83" i="14"/>
  <c r="H83" i="14"/>
  <c r="D83" i="14"/>
  <c r="G83" i="14"/>
  <c r="E83" i="14"/>
  <c r="I83" i="14"/>
  <c r="F87" i="14"/>
  <c r="H87" i="14"/>
  <c r="E87" i="14"/>
  <c r="I87" i="14"/>
  <c r="G87" i="14"/>
  <c r="D87" i="14"/>
  <c r="F91" i="14"/>
  <c r="E91" i="14"/>
  <c r="H91" i="14"/>
  <c r="G91" i="14"/>
  <c r="D91" i="14"/>
  <c r="I91" i="14"/>
  <c r="F95" i="14"/>
  <c r="H95" i="14"/>
  <c r="E95" i="14"/>
  <c r="D95" i="14"/>
  <c r="I95" i="14"/>
  <c r="G95" i="14"/>
  <c r="F99" i="14"/>
  <c r="E99" i="14"/>
  <c r="H99" i="14"/>
  <c r="I99" i="14"/>
  <c r="G99" i="14"/>
  <c r="D99" i="14"/>
  <c r="F103" i="14"/>
  <c r="H103" i="14"/>
  <c r="E103" i="14"/>
  <c r="I103" i="14"/>
  <c r="G103" i="14"/>
  <c r="D103" i="14"/>
  <c r="H107" i="14"/>
  <c r="D107" i="14"/>
  <c r="F107" i="14"/>
  <c r="E107" i="14"/>
  <c r="I107" i="14"/>
  <c r="G107" i="14"/>
  <c r="H111" i="14"/>
  <c r="D111" i="14"/>
  <c r="F111" i="14"/>
  <c r="E111" i="14"/>
  <c r="I111" i="14"/>
  <c r="G111" i="14"/>
  <c r="H115" i="14"/>
  <c r="D115" i="14"/>
  <c r="F115" i="14"/>
  <c r="E115" i="14"/>
  <c r="I115" i="14"/>
  <c r="G115" i="14"/>
  <c r="H119" i="14"/>
  <c r="D119" i="14"/>
  <c r="F119" i="14"/>
  <c r="E119" i="14"/>
  <c r="I119" i="14"/>
  <c r="G119" i="14"/>
  <c r="F60" i="14"/>
  <c r="G60" i="14"/>
  <c r="I60" i="14"/>
  <c r="D60" i="14"/>
  <c r="H60" i="14"/>
  <c r="E60" i="14"/>
  <c r="H64" i="14"/>
  <c r="D64" i="14"/>
  <c r="F64" i="14"/>
  <c r="I64" i="14"/>
  <c r="E64" i="14"/>
  <c r="G64" i="14"/>
  <c r="H68" i="14"/>
  <c r="D68" i="14"/>
  <c r="F68" i="14"/>
  <c r="I68" i="14"/>
  <c r="G68" i="14"/>
  <c r="E68" i="14"/>
  <c r="H72" i="14"/>
  <c r="D72" i="14"/>
  <c r="F72" i="14"/>
  <c r="I72" i="14"/>
  <c r="G72" i="14"/>
  <c r="E72" i="14"/>
  <c r="H76" i="14"/>
  <c r="D76" i="14"/>
  <c r="F76" i="14"/>
  <c r="I76" i="14"/>
  <c r="G76" i="14"/>
  <c r="E76" i="14"/>
  <c r="H80" i="14"/>
  <c r="D80" i="14"/>
  <c r="F80" i="14"/>
  <c r="I80" i="14"/>
  <c r="G80" i="14"/>
  <c r="E80" i="14"/>
  <c r="H84" i="14"/>
  <c r="D84" i="14"/>
  <c r="F84" i="14"/>
  <c r="I84" i="14"/>
  <c r="G84" i="14"/>
  <c r="E84" i="14"/>
  <c r="H88" i="14"/>
  <c r="D88" i="14"/>
  <c r="G88" i="14"/>
  <c r="E88" i="14"/>
  <c r="I88" i="14"/>
  <c r="F88" i="14"/>
  <c r="H92" i="14"/>
  <c r="D92" i="14"/>
  <c r="E92" i="14"/>
  <c r="G92" i="14"/>
  <c r="I92" i="14"/>
  <c r="F92" i="14"/>
  <c r="H96" i="14"/>
  <c r="D96" i="14"/>
  <c r="G96" i="14"/>
  <c r="E96" i="14"/>
  <c r="I96" i="14"/>
  <c r="F96" i="14"/>
  <c r="H100" i="14"/>
  <c r="D100" i="14"/>
  <c r="E100" i="14"/>
  <c r="G100" i="14"/>
  <c r="F100" i="14"/>
  <c r="I100" i="14"/>
  <c r="H104" i="14"/>
  <c r="D104" i="14"/>
  <c r="G104" i="14"/>
  <c r="E104" i="14"/>
  <c r="I104" i="14"/>
  <c r="F104" i="14"/>
  <c r="F108" i="14"/>
  <c r="H108" i="14"/>
  <c r="D108" i="14"/>
  <c r="G108" i="14"/>
  <c r="I108" i="14"/>
  <c r="E108" i="14"/>
  <c r="F112" i="14"/>
  <c r="H112" i="14"/>
  <c r="D112" i="14"/>
  <c r="G112" i="14"/>
  <c r="I112" i="14"/>
  <c r="E112" i="14"/>
  <c r="F116" i="14"/>
  <c r="H116" i="14"/>
  <c r="D116" i="14"/>
  <c r="G116" i="14"/>
  <c r="I116" i="14"/>
  <c r="E116" i="14"/>
  <c r="D120" i="14"/>
  <c r="H61" i="14"/>
  <c r="D61" i="14"/>
  <c r="F61" i="14"/>
  <c r="I61" i="14"/>
  <c r="G61" i="14"/>
  <c r="E61" i="14"/>
  <c r="F65" i="14"/>
  <c r="H65" i="14"/>
  <c r="D65" i="14"/>
  <c r="I65" i="14"/>
  <c r="G65" i="14"/>
  <c r="E65" i="14"/>
  <c r="F69" i="14"/>
  <c r="H69" i="14"/>
  <c r="D69" i="14"/>
  <c r="I69" i="14"/>
  <c r="G69" i="14"/>
  <c r="E69" i="14"/>
  <c r="F73" i="14"/>
  <c r="H73" i="14"/>
  <c r="D73" i="14"/>
  <c r="I73" i="14"/>
  <c r="G73" i="14"/>
  <c r="E73" i="14"/>
  <c r="F77" i="14"/>
  <c r="H77" i="14"/>
  <c r="D77" i="14"/>
  <c r="I77" i="14"/>
  <c r="G77" i="14"/>
  <c r="E77" i="14"/>
  <c r="F81" i="14"/>
  <c r="H81" i="14"/>
  <c r="D81" i="14"/>
  <c r="I81" i="14"/>
  <c r="G81" i="14"/>
  <c r="E81" i="14"/>
  <c r="F85" i="14"/>
  <c r="H85" i="14"/>
  <c r="D85" i="14"/>
  <c r="I85" i="14"/>
  <c r="G85" i="14"/>
  <c r="E85" i="14"/>
  <c r="F89" i="14"/>
  <c r="G89" i="14"/>
  <c r="I89" i="14"/>
  <c r="D89" i="14"/>
  <c r="H89" i="14"/>
  <c r="E89" i="14"/>
  <c r="F93" i="14"/>
  <c r="I93" i="14"/>
  <c r="D93" i="14"/>
  <c r="G93" i="14"/>
  <c r="E93" i="14"/>
  <c r="H93" i="14"/>
  <c r="F97" i="14"/>
  <c r="G97" i="14"/>
  <c r="I97" i="14"/>
  <c r="D97" i="14"/>
  <c r="H97" i="14"/>
  <c r="E97" i="14"/>
  <c r="F101" i="14"/>
  <c r="I101" i="14"/>
  <c r="D101" i="14"/>
  <c r="G101" i="14"/>
  <c r="H101" i="14"/>
  <c r="E101" i="14"/>
  <c r="H105" i="14"/>
  <c r="D105" i="14"/>
  <c r="F105" i="14"/>
  <c r="I105" i="14"/>
  <c r="E105" i="14"/>
  <c r="G105" i="14"/>
  <c r="H109" i="14"/>
  <c r="D109" i="14"/>
  <c r="F109" i="14"/>
  <c r="I109" i="14"/>
  <c r="E109" i="14"/>
  <c r="G109" i="14"/>
  <c r="H113" i="14"/>
  <c r="D113" i="14"/>
  <c r="F113" i="14"/>
  <c r="I113" i="14"/>
  <c r="E113" i="14"/>
  <c r="G113" i="14"/>
  <c r="H117" i="14"/>
  <c r="D117" i="14"/>
  <c r="F117" i="14"/>
  <c r="I117" i="14"/>
  <c r="E117" i="14"/>
  <c r="G117" i="14"/>
  <c r="C54" i="14"/>
  <c r="C53" i="14"/>
  <c r="C4" i="14"/>
  <c r="C44" i="14"/>
  <c r="C17" i="14"/>
  <c r="C33" i="14"/>
  <c r="C49" i="14"/>
  <c r="C40" i="14"/>
  <c r="C26" i="14"/>
  <c r="C42" i="14"/>
  <c r="C24" i="14"/>
  <c r="C7" i="14"/>
  <c r="C23" i="14"/>
  <c r="C39" i="14"/>
  <c r="C12" i="14"/>
  <c r="C5" i="14"/>
  <c r="C21" i="14"/>
  <c r="C37" i="14"/>
  <c r="C8" i="14"/>
  <c r="C52" i="14"/>
  <c r="C14" i="14"/>
  <c r="C30" i="14"/>
  <c r="C46" i="14"/>
  <c r="C32" i="14"/>
  <c r="C11" i="14"/>
  <c r="C27" i="14"/>
  <c r="C43" i="14"/>
  <c r="C20" i="14"/>
  <c r="C9" i="14"/>
  <c r="C25" i="14"/>
  <c r="C41" i="14"/>
  <c r="C16" i="14"/>
  <c r="C18" i="14"/>
  <c r="C34" i="14"/>
  <c r="C50" i="14"/>
  <c r="C48" i="14"/>
  <c r="C15" i="14"/>
  <c r="C31" i="14"/>
  <c r="C47" i="14"/>
  <c r="C36" i="14"/>
  <c r="C13" i="14"/>
  <c r="C29" i="14"/>
  <c r="C45" i="14"/>
  <c r="C28" i="14"/>
  <c r="C6" i="14"/>
  <c r="C22" i="14"/>
  <c r="C38" i="14"/>
  <c r="C3" i="14"/>
  <c r="C19" i="14"/>
  <c r="C35" i="14"/>
  <c r="C51" i="14"/>
  <c r="G54" i="14"/>
  <c r="H54" i="14"/>
  <c r="F54" i="14"/>
  <c r="E54" i="14"/>
  <c r="D54" i="14"/>
  <c r="I54" i="14"/>
  <c r="J54" i="14"/>
  <c r="K54" i="14"/>
  <c r="K53" i="14"/>
  <c r="F53" i="14"/>
  <c r="E53" i="14"/>
  <c r="H53" i="14"/>
  <c r="G53" i="14"/>
  <c r="I53" i="14"/>
  <c r="D53" i="14"/>
  <c r="J53" i="14"/>
  <c r="J6" i="14"/>
  <c r="I6" i="14"/>
  <c r="K6" i="14"/>
  <c r="K15" i="14"/>
  <c r="J15" i="14"/>
  <c r="I15" i="14"/>
  <c r="I9" i="14"/>
  <c r="J9" i="14"/>
  <c r="K9" i="14"/>
  <c r="J14" i="14"/>
  <c r="I14" i="14"/>
  <c r="K14" i="14"/>
  <c r="K23" i="14"/>
  <c r="J23" i="14"/>
  <c r="I23" i="14"/>
  <c r="I17" i="14"/>
  <c r="J17" i="14"/>
  <c r="K17" i="14"/>
  <c r="K28" i="14"/>
  <c r="I28" i="14"/>
  <c r="J28" i="14"/>
  <c r="K48" i="14"/>
  <c r="J48" i="14"/>
  <c r="I48" i="14"/>
  <c r="K20" i="14"/>
  <c r="I20" i="14"/>
  <c r="J20" i="14"/>
  <c r="K52" i="14"/>
  <c r="J52" i="14"/>
  <c r="I52" i="14"/>
  <c r="K7" i="14"/>
  <c r="J7" i="14"/>
  <c r="I7" i="14"/>
  <c r="K44" i="14"/>
  <c r="J44" i="14"/>
  <c r="I44" i="14"/>
  <c r="J38" i="14"/>
  <c r="I38" i="14"/>
  <c r="K38" i="14"/>
  <c r="K47" i="14"/>
  <c r="J47" i="14"/>
  <c r="I47" i="14"/>
  <c r="K35" i="14"/>
  <c r="J35" i="14"/>
  <c r="I35" i="14"/>
  <c r="J22" i="14"/>
  <c r="I22" i="14"/>
  <c r="K22" i="14"/>
  <c r="I29" i="14"/>
  <c r="K29" i="14"/>
  <c r="J29" i="14"/>
  <c r="K31" i="14"/>
  <c r="J31" i="14"/>
  <c r="I31" i="14"/>
  <c r="J34" i="14"/>
  <c r="I34" i="14"/>
  <c r="K34" i="14"/>
  <c r="I25" i="14"/>
  <c r="J25" i="14"/>
  <c r="K25" i="14"/>
  <c r="K27" i="14"/>
  <c r="J27" i="14"/>
  <c r="I27" i="14"/>
  <c r="J30" i="14"/>
  <c r="I30" i="14"/>
  <c r="K30" i="14"/>
  <c r="I37" i="14"/>
  <c r="K37" i="14"/>
  <c r="J37" i="14"/>
  <c r="K39" i="14"/>
  <c r="J39" i="14"/>
  <c r="I39" i="14"/>
  <c r="J42" i="14"/>
  <c r="I42" i="14"/>
  <c r="K42" i="14"/>
  <c r="I33" i="14"/>
  <c r="J33" i="14"/>
  <c r="K33" i="14"/>
  <c r="K19" i="14"/>
  <c r="J19" i="14"/>
  <c r="I19" i="14"/>
  <c r="I13" i="14"/>
  <c r="K13" i="14"/>
  <c r="J13" i="14"/>
  <c r="J18" i="14"/>
  <c r="I18" i="14"/>
  <c r="K18" i="14"/>
  <c r="K11" i="14"/>
  <c r="J11" i="14"/>
  <c r="I11" i="14"/>
  <c r="I21" i="14"/>
  <c r="K21" i="14"/>
  <c r="J21" i="14"/>
  <c r="J26" i="14"/>
  <c r="I26" i="14"/>
  <c r="K26" i="14"/>
  <c r="K3" i="14"/>
  <c r="J3" i="14"/>
  <c r="I3" i="14"/>
  <c r="K36" i="14"/>
  <c r="I36" i="14"/>
  <c r="J36" i="14"/>
  <c r="K16" i="14"/>
  <c r="J16" i="14"/>
  <c r="I16" i="14"/>
  <c r="K32" i="14"/>
  <c r="J32" i="14"/>
  <c r="I32" i="14"/>
  <c r="I5" i="14"/>
  <c r="K5" i="14"/>
  <c r="J5" i="14"/>
  <c r="K40" i="14"/>
  <c r="J40" i="14"/>
  <c r="I40" i="14"/>
  <c r="K51" i="14"/>
  <c r="J51" i="14"/>
  <c r="I51" i="14"/>
  <c r="I45" i="14"/>
  <c r="K45" i="14"/>
  <c r="J45" i="14"/>
  <c r="J50" i="14"/>
  <c r="I50" i="14"/>
  <c r="K50" i="14"/>
  <c r="I41" i="14"/>
  <c r="K41" i="14"/>
  <c r="J41" i="14"/>
  <c r="K43" i="14"/>
  <c r="J43" i="14"/>
  <c r="I43" i="14"/>
  <c r="J46" i="14"/>
  <c r="I46" i="14"/>
  <c r="K46" i="14"/>
  <c r="K8" i="14"/>
  <c r="J8" i="14"/>
  <c r="I8" i="14"/>
  <c r="K12" i="14"/>
  <c r="I12" i="14"/>
  <c r="J12" i="14"/>
  <c r="K24" i="14"/>
  <c r="J24" i="14"/>
  <c r="I24" i="14"/>
  <c r="I49" i="14"/>
  <c r="K49" i="14"/>
  <c r="J49" i="14"/>
  <c r="K4" i="14"/>
  <c r="I4" i="14"/>
  <c r="J4" i="14"/>
  <c r="F35" i="14"/>
  <c r="H35" i="14"/>
  <c r="D35" i="14"/>
  <c r="E35" i="14"/>
  <c r="G35" i="14"/>
  <c r="H38" i="14"/>
  <c r="D38" i="14"/>
  <c r="F38" i="14"/>
  <c r="G38" i="14"/>
  <c r="E38" i="14"/>
  <c r="F45" i="14"/>
  <c r="H45" i="14"/>
  <c r="D45" i="14"/>
  <c r="G45" i="14"/>
  <c r="E45" i="14"/>
  <c r="F47" i="14"/>
  <c r="H47" i="14"/>
  <c r="D47" i="14"/>
  <c r="E47" i="14"/>
  <c r="G47" i="14"/>
  <c r="H50" i="14"/>
  <c r="D50" i="14"/>
  <c r="F50" i="14"/>
  <c r="G50" i="14"/>
  <c r="E50" i="14"/>
  <c r="H16" i="14"/>
  <c r="D16" i="14"/>
  <c r="F16" i="14"/>
  <c r="G16" i="14"/>
  <c r="E16" i="14"/>
  <c r="H20" i="14"/>
  <c r="D20" i="14"/>
  <c r="F20" i="14"/>
  <c r="G20" i="14"/>
  <c r="E20" i="14"/>
  <c r="H32" i="14"/>
  <c r="D32" i="14"/>
  <c r="F32" i="14"/>
  <c r="G32" i="14"/>
  <c r="E32" i="14"/>
  <c r="H52" i="14"/>
  <c r="D52" i="14"/>
  <c r="F52" i="14"/>
  <c r="G52" i="14"/>
  <c r="E52" i="14"/>
  <c r="F5" i="14"/>
  <c r="H5" i="14"/>
  <c r="D5" i="14"/>
  <c r="G5" i="14"/>
  <c r="E5" i="14"/>
  <c r="F23" i="14"/>
  <c r="H23" i="14"/>
  <c r="D23" i="14"/>
  <c r="E23" i="14"/>
  <c r="G23" i="14"/>
  <c r="H26" i="14"/>
  <c r="D26" i="14"/>
  <c r="F26" i="14"/>
  <c r="G26" i="14"/>
  <c r="E26" i="14"/>
  <c r="F33" i="14"/>
  <c r="H33" i="14"/>
  <c r="D33" i="14"/>
  <c r="G33" i="14"/>
  <c r="E33" i="14"/>
  <c r="F19" i="14"/>
  <c r="H19" i="14"/>
  <c r="D19" i="14"/>
  <c r="E19" i="14"/>
  <c r="G19" i="14"/>
  <c r="H22" i="14"/>
  <c r="D22" i="14"/>
  <c r="F22" i="14"/>
  <c r="G22" i="14"/>
  <c r="E22" i="14"/>
  <c r="F29" i="14"/>
  <c r="H29" i="14"/>
  <c r="D29" i="14"/>
  <c r="G29" i="14"/>
  <c r="E29" i="14"/>
  <c r="F31" i="14"/>
  <c r="H31" i="14"/>
  <c r="D31" i="14"/>
  <c r="E31" i="14"/>
  <c r="G31" i="14"/>
  <c r="H34" i="14"/>
  <c r="D34" i="14"/>
  <c r="F34" i="14"/>
  <c r="G34" i="14"/>
  <c r="E34" i="14"/>
  <c r="F41" i="14"/>
  <c r="H41" i="14"/>
  <c r="D41" i="14"/>
  <c r="G41" i="14"/>
  <c r="E41" i="14"/>
  <c r="F43" i="14"/>
  <c r="H43" i="14"/>
  <c r="D43" i="14"/>
  <c r="E43" i="14"/>
  <c r="G43" i="14"/>
  <c r="H46" i="14"/>
  <c r="D46" i="14"/>
  <c r="F46" i="14"/>
  <c r="G46" i="14"/>
  <c r="E46" i="14"/>
  <c r="H8" i="14"/>
  <c r="D8" i="14"/>
  <c r="F8" i="14"/>
  <c r="G8" i="14"/>
  <c r="E8" i="14"/>
  <c r="H12" i="14"/>
  <c r="D12" i="14"/>
  <c r="F12" i="14"/>
  <c r="G12" i="14"/>
  <c r="E12" i="14"/>
  <c r="F7" i="14"/>
  <c r="H7" i="14"/>
  <c r="D7" i="14"/>
  <c r="E7" i="14"/>
  <c r="G7" i="14"/>
  <c r="F17" i="14"/>
  <c r="H17" i="14"/>
  <c r="D17" i="14"/>
  <c r="G17" i="14"/>
  <c r="E17" i="14"/>
  <c r="F3" i="14"/>
  <c r="H3" i="14"/>
  <c r="D3" i="14"/>
  <c r="E3" i="14"/>
  <c r="G3" i="14"/>
  <c r="H6" i="14"/>
  <c r="D6" i="14"/>
  <c r="F6" i="14"/>
  <c r="E6" i="14"/>
  <c r="G6" i="14"/>
  <c r="F13" i="14"/>
  <c r="H13" i="14"/>
  <c r="D13" i="14"/>
  <c r="G13" i="14"/>
  <c r="E13" i="14"/>
  <c r="F15" i="14"/>
  <c r="H15" i="14"/>
  <c r="D15" i="14"/>
  <c r="E15" i="14"/>
  <c r="G15" i="14"/>
  <c r="H18" i="14"/>
  <c r="D18" i="14"/>
  <c r="F18" i="14"/>
  <c r="G18" i="14"/>
  <c r="E18" i="14"/>
  <c r="F25" i="14"/>
  <c r="H25" i="14"/>
  <c r="D25" i="14"/>
  <c r="G25" i="14"/>
  <c r="E25" i="14"/>
  <c r="F27" i="14"/>
  <c r="H27" i="14"/>
  <c r="D27" i="14"/>
  <c r="E27" i="14"/>
  <c r="G27" i="14"/>
  <c r="H30" i="14"/>
  <c r="D30" i="14"/>
  <c r="F30" i="14"/>
  <c r="G30" i="14"/>
  <c r="E30" i="14"/>
  <c r="F37" i="14"/>
  <c r="H37" i="14"/>
  <c r="D37" i="14"/>
  <c r="G37" i="14"/>
  <c r="E37" i="14"/>
  <c r="H24" i="14"/>
  <c r="D24" i="14"/>
  <c r="F24" i="14"/>
  <c r="G24" i="14"/>
  <c r="E24" i="14"/>
  <c r="H40" i="14"/>
  <c r="D40" i="14"/>
  <c r="F40" i="14"/>
  <c r="G40" i="14"/>
  <c r="E40" i="14"/>
  <c r="H44" i="14"/>
  <c r="D44" i="14"/>
  <c r="F44" i="14"/>
  <c r="G44" i="14"/>
  <c r="E44" i="14"/>
  <c r="F51" i="14"/>
  <c r="H51" i="14"/>
  <c r="D51" i="14"/>
  <c r="E51" i="14"/>
  <c r="G51" i="14"/>
  <c r="H28" i="14"/>
  <c r="D28" i="14"/>
  <c r="F28" i="14"/>
  <c r="G28" i="14"/>
  <c r="E28" i="14"/>
  <c r="H36" i="14"/>
  <c r="D36" i="14"/>
  <c r="F36" i="14"/>
  <c r="G36" i="14"/>
  <c r="E36" i="14"/>
  <c r="H48" i="14"/>
  <c r="D48" i="14"/>
  <c r="F48" i="14"/>
  <c r="G48" i="14"/>
  <c r="E48" i="14"/>
  <c r="F9" i="14"/>
  <c r="H9" i="14"/>
  <c r="D9" i="14"/>
  <c r="G9" i="14"/>
  <c r="E9" i="14"/>
  <c r="F11" i="14"/>
  <c r="H11" i="14"/>
  <c r="D11" i="14"/>
  <c r="E11" i="14"/>
  <c r="G11" i="14"/>
  <c r="H14" i="14"/>
  <c r="D14" i="14"/>
  <c r="F14" i="14"/>
  <c r="G14" i="14"/>
  <c r="E14" i="14"/>
  <c r="F21" i="14"/>
  <c r="H21" i="14"/>
  <c r="D21" i="14"/>
  <c r="G21" i="14"/>
  <c r="E21" i="14"/>
  <c r="F39" i="14"/>
  <c r="H39" i="14"/>
  <c r="D39" i="14"/>
  <c r="E39" i="14"/>
  <c r="G39" i="14"/>
  <c r="H42" i="14"/>
  <c r="D42" i="14"/>
  <c r="F42" i="14"/>
  <c r="G42" i="14"/>
  <c r="E42" i="14"/>
  <c r="F49" i="14"/>
  <c r="H49" i="14"/>
  <c r="D49" i="14"/>
  <c r="G49" i="14"/>
  <c r="E49" i="14"/>
  <c r="H4" i="14"/>
  <c r="D4" i="14"/>
  <c r="F4" i="14"/>
  <c r="G4" i="14"/>
  <c r="E4" i="14"/>
  <c r="C10" i="14"/>
  <c r="H10" i="14"/>
  <c r="J10" i="14"/>
  <c r="I10" i="14"/>
  <c r="K10" i="14"/>
  <c r="F10" i="14"/>
  <c r="E10" i="14"/>
  <c r="G10" i="14"/>
  <c r="D10" i="14"/>
</calcChain>
</file>

<file path=xl/sharedStrings.xml><?xml version="1.0" encoding="utf-8"?>
<sst xmlns="http://schemas.openxmlformats.org/spreadsheetml/2006/main" count="554" uniqueCount="173">
  <si>
    <t>+SD</t>
    <phoneticPr fontId="1"/>
  </si>
  <si>
    <t>月齢</t>
    <phoneticPr fontId="1"/>
  </si>
  <si>
    <t>+2SD</t>
    <phoneticPr fontId="1"/>
  </si>
  <si>
    <t>-2SD</t>
    <phoneticPr fontId="1"/>
  </si>
  <si>
    <t>体重</t>
    <phoneticPr fontId="1"/>
  </si>
  <si>
    <t>性別</t>
    <phoneticPr fontId="1"/>
  </si>
  <si>
    <t>目標身長</t>
    <phoneticPr fontId="1"/>
  </si>
  <si>
    <t>X^3</t>
    <phoneticPr fontId="1"/>
  </si>
  <si>
    <t>X</t>
    <phoneticPr fontId="1"/>
  </si>
  <si>
    <t>平均体重</t>
    <phoneticPr fontId="1"/>
  </si>
  <si>
    <t>L</t>
    <phoneticPr fontId="5"/>
  </si>
  <si>
    <t>male</t>
    <phoneticPr fontId="5"/>
  </si>
  <si>
    <t>female</t>
    <phoneticPr fontId="5"/>
  </si>
  <si>
    <t>S</t>
    <phoneticPr fontId="5"/>
  </si>
  <si>
    <t>M</t>
    <phoneticPr fontId="5"/>
  </si>
  <si>
    <t>村田式</t>
    <rPh sb="0" eb="2">
      <t>ムラタ</t>
    </rPh>
    <rPh sb="2" eb="3">
      <t>シキ</t>
    </rPh>
    <phoneticPr fontId="5"/>
  </si>
  <si>
    <t>伊藤式</t>
    <rPh sb="0" eb="2">
      <t>イトウ</t>
    </rPh>
    <rPh sb="2" eb="3">
      <t>シキ</t>
    </rPh>
    <phoneticPr fontId="5"/>
  </si>
  <si>
    <t>y=ax+b</t>
  </si>
  <si>
    <t>男性</t>
    <rPh sb="0" eb="2">
      <t>ダンセイ</t>
    </rPh>
    <phoneticPr fontId="5"/>
  </si>
  <si>
    <t>male</t>
  </si>
  <si>
    <t>幼児</t>
    <rPh sb="0" eb="2">
      <t>ヨウジ</t>
    </rPh>
    <phoneticPr fontId="5"/>
  </si>
  <si>
    <t>学童</t>
    <rPh sb="0" eb="2">
      <t>ガクドウ</t>
    </rPh>
    <phoneticPr fontId="5"/>
  </si>
  <si>
    <t>女性</t>
    <rPh sb="0" eb="2">
      <t>ジョセイ</t>
    </rPh>
    <phoneticPr fontId="5"/>
  </si>
  <si>
    <t>female</t>
  </si>
  <si>
    <t>a</t>
    <phoneticPr fontId="1"/>
  </si>
  <si>
    <t>b</t>
    <phoneticPr fontId="1"/>
  </si>
  <si>
    <t>X^3</t>
    <phoneticPr fontId="1"/>
  </si>
  <si>
    <t>X^2</t>
    <phoneticPr fontId="1"/>
  </si>
  <si>
    <t>X</t>
    <phoneticPr fontId="1"/>
  </si>
  <si>
    <t>X^2</t>
    <phoneticPr fontId="1"/>
  </si>
  <si>
    <t>年齢</t>
    <phoneticPr fontId="1"/>
  </si>
  <si>
    <t>y=体重</t>
    <phoneticPr fontId="1"/>
  </si>
  <si>
    <t>x=月齢</t>
    <phoneticPr fontId="1"/>
  </si>
  <si>
    <t>村田式</t>
    <phoneticPr fontId="1"/>
  </si>
  <si>
    <t>x=身長(cm)</t>
    <phoneticPr fontId="1"/>
  </si>
  <si>
    <t>伊藤式</t>
    <rPh sb="0" eb="2">
      <t>イトウ</t>
    </rPh>
    <rPh sb="2" eb="3">
      <t>シキ</t>
    </rPh>
    <phoneticPr fontId="1"/>
  </si>
  <si>
    <t>伊藤式列番号</t>
    <rPh sb="4" eb="6">
      <t>バンゴウ</t>
    </rPh>
    <phoneticPr fontId="1"/>
  </si>
  <si>
    <t>身長</t>
    <rPh sb="0" eb="2">
      <t>シンチョウ</t>
    </rPh>
    <phoneticPr fontId="1"/>
  </si>
  <si>
    <t>L</t>
    <phoneticPr fontId="1"/>
  </si>
  <si>
    <t>M</t>
    <phoneticPr fontId="1"/>
  </si>
  <si>
    <t>S</t>
    <phoneticPr fontId="1"/>
  </si>
  <si>
    <t>L列</t>
    <rPh sb="1" eb="2">
      <t>レツ</t>
    </rPh>
    <phoneticPr fontId="1"/>
  </si>
  <si>
    <t>M列</t>
    <rPh sb="1" eb="2">
      <t>レツ</t>
    </rPh>
    <phoneticPr fontId="1"/>
  </si>
  <si>
    <t>S列</t>
    <rPh sb="1" eb="2">
      <t>レツ</t>
    </rPh>
    <phoneticPr fontId="1"/>
  </si>
  <si>
    <t>身長SD</t>
    <phoneticPr fontId="1"/>
  </si>
  <si>
    <t>L列</t>
    <phoneticPr fontId="1"/>
  </si>
  <si>
    <t>体重</t>
    <rPh sb="0" eb="2">
      <t>タイジュウ</t>
    </rPh>
    <phoneticPr fontId="1"/>
  </si>
  <si>
    <t>平均体重</t>
    <rPh sb="0" eb="2">
      <t>ヘイキン</t>
    </rPh>
    <rPh sb="2" eb="4">
      <t>タイジュウ</t>
    </rPh>
    <phoneticPr fontId="1"/>
  </si>
  <si>
    <t>補正体重</t>
    <rPh sb="0" eb="2">
      <t>ホセイ</t>
    </rPh>
    <rPh sb="2" eb="4">
      <t>タイジュウ</t>
    </rPh>
    <phoneticPr fontId="1"/>
  </si>
  <si>
    <t>名前</t>
    <phoneticPr fontId="1"/>
  </si>
  <si>
    <t>父の身長</t>
    <phoneticPr fontId="1"/>
  </si>
  <si>
    <t>母の身長</t>
    <phoneticPr fontId="1"/>
  </si>
  <si>
    <t>目標上限</t>
    <phoneticPr fontId="1"/>
  </si>
  <si>
    <t>目標下限</t>
    <phoneticPr fontId="1"/>
  </si>
  <si>
    <t>身長</t>
    <phoneticPr fontId="1"/>
  </si>
  <si>
    <t>体重</t>
    <phoneticPr fontId="1"/>
  </si>
  <si>
    <t>年</t>
    <phoneticPr fontId="1"/>
  </si>
  <si>
    <t>月</t>
    <phoneticPr fontId="1"/>
  </si>
  <si>
    <t>標準</t>
    <phoneticPr fontId="1"/>
  </si>
  <si>
    <t>成長速度</t>
    <phoneticPr fontId="1"/>
  </si>
  <si>
    <t>BMI</t>
    <phoneticPr fontId="1"/>
  </si>
  <si>
    <t>村田式</t>
    <phoneticPr fontId="1"/>
  </si>
  <si>
    <t>伊藤式</t>
    <phoneticPr fontId="1"/>
  </si>
  <si>
    <t>(cm)</t>
    <phoneticPr fontId="1"/>
  </si>
  <si>
    <t>Zscore</t>
    <phoneticPr fontId="1"/>
  </si>
  <si>
    <t>(cm/年)</t>
    <phoneticPr fontId="1"/>
  </si>
  <si>
    <t>標準体重</t>
    <phoneticPr fontId="1"/>
  </si>
  <si>
    <t>肥満度</t>
    <phoneticPr fontId="1"/>
  </si>
  <si>
    <t>計測日</t>
    <rPh sb="0" eb="2">
      <t>ケイソク</t>
    </rPh>
    <rPh sb="2" eb="3">
      <t>ビ</t>
    </rPh>
    <phoneticPr fontId="1"/>
  </si>
  <si>
    <t>出生日</t>
    <rPh sb="0" eb="2">
      <t>シュッセイ</t>
    </rPh>
    <rPh sb="2" eb="3">
      <t>ビ</t>
    </rPh>
    <phoneticPr fontId="1"/>
  </si>
  <si>
    <t>+50%</t>
    <phoneticPr fontId="1"/>
  </si>
  <si>
    <t>+30％</t>
    <phoneticPr fontId="1"/>
  </si>
  <si>
    <t>+20％</t>
    <phoneticPr fontId="1"/>
  </si>
  <si>
    <t>0％</t>
    <phoneticPr fontId="1"/>
  </si>
  <si>
    <t>幼児用</t>
    <rPh sb="0" eb="3">
      <t>ヨウジヨウ</t>
    </rPh>
    <phoneticPr fontId="1"/>
  </si>
  <si>
    <t>学童用</t>
    <rPh sb="0" eb="2">
      <t>ガクドウ</t>
    </rPh>
    <rPh sb="2" eb="3">
      <t>ヨウ</t>
    </rPh>
    <phoneticPr fontId="1"/>
  </si>
  <si>
    <t>+15％</t>
    <phoneticPr fontId="1"/>
  </si>
  <si>
    <t>-15％</t>
    <phoneticPr fontId="1"/>
  </si>
  <si>
    <t>-20%</t>
    <phoneticPr fontId="1"/>
  </si>
  <si>
    <t>平成12年度乳幼児身体発育調査報告書(厚生労働省)のデータを基に作成(立花克彦、諏訪城三)</t>
    <rPh sb="0" eb="2">
      <t>ヘイセイ</t>
    </rPh>
    <rPh sb="4" eb="6">
      <t>ネンド</t>
    </rPh>
    <rPh sb="6" eb="9">
      <t>ニュウヨウジ</t>
    </rPh>
    <rPh sb="9" eb="11">
      <t>シンタイ</t>
    </rPh>
    <rPh sb="11" eb="13">
      <t>ハツイク</t>
    </rPh>
    <rPh sb="13" eb="15">
      <t>チョウサ</t>
    </rPh>
    <rPh sb="15" eb="18">
      <t>ホウコクショ</t>
    </rPh>
    <rPh sb="19" eb="21">
      <t>コウセイ</t>
    </rPh>
    <rPh sb="21" eb="24">
      <t>ロウドウショウ</t>
    </rPh>
    <rPh sb="30" eb="31">
      <t>モトイ</t>
    </rPh>
    <rPh sb="32" eb="34">
      <t>サクセイ</t>
    </rPh>
    <rPh sb="35" eb="37">
      <t>タチバナ</t>
    </rPh>
    <rPh sb="37" eb="39">
      <t>カツヒコ</t>
    </rPh>
    <rPh sb="40" eb="42">
      <t>スワ</t>
    </rPh>
    <rPh sb="42" eb="43">
      <t>ジョウ</t>
    </rPh>
    <rPh sb="43" eb="44">
      <t>ゾウ</t>
    </rPh>
    <phoneticPr fontId="1"/>
  </si>
  <si>
    <t>年齢</t>
    <rPh sb="0" eb="2">
      <t>ネンレイ</t>
    </rPh>
    <phoneticPr fontId="1"/>
  </si>
  <si>
    <t>平均</t>
    <rPh sb="0" eb="2">
      <t>ヘイキン</t>
    </rPh>
    <phoneticPr fontId="1"/>
  </si>
  <si>
    <t>月齢</t>
    <rPh sb="0" eb="2">
      <t>ゲツレイ</t>
    </rPh>
    <phoneticPr fontId="1"/>
  </si>
  <si>
    <t>出生時</t>
  </si>
  <si>
    <t>３０日</t>
  </si>
  <si>
    <t>０年１～２月未満</t>
  </si>
  <si>
    <t>２～３</t>
  </si>
  <si>
    <t>３～４</t>
  </si>
  <si>
    <t>４～５</t>
  </si>
  <si>
    <t>５～６</t>
  </si>
  <si>
    <t>６～７</t>
  </si>
  <si>
    <t>７～８</t>
  </si>
  <si>
    <t>８～９</t>
  </si>
  <si>
    <t>９～１０</t>
  </si>
  <si>
    <t>１０～１１</t>
  </si>
  <si>
    <t>１１～１２</t>
  </si>
  <si>
    <t>１年０～１月未満</t>
  </si>
  <si>
    <t>１～２</t>
  </si>
  <si>
    <t>２年０～６月未満</t>
  </si>
  <si>
    <t>６～１２</t>
  </si>
  <si>
    <t>３年０～６月未満</t>
  </si>
  <si>
    <t>４年０～６月未満</t>
  </si>
  <si>
    <t>５年０～６月未満</t>
  </si>
  <si>
    <t>６年０～６月未満</t>
  </si>
  <si>
    <t>母子手帳に記載されているグラフは、2-3ヶ月は2.5ヶ月のところにプロットしているようだ。</t>
    <rPh sb="0" eb="2">
      <t>ボシ</t>
    </rPh>
    <rPh sb="2" eb="4">
      <t>テチョウ</t>
    </rPh>
    <rPh sb="5" eb="7">
      <t>キサイ</t>
    </rPh>
    <rPh sb="21" eb="22">
      <t>ゲツ</t>
    </rPh>
    <rPh sb="27" eb="28">
      <t>ゲツ</t>
    </rPh>
    <phoneticPr fontId="1"/>
  </si>
  <si>
    <t>パーセンタイルは、平成１２年　乳幼児身体発育調査報告書を基に作成。実際に母子手帳に書かれているのは最新の2010年度統計だが、医学的には2000年統計資料を使用する</t>
    <rPh sb="28" eb="29">
      <t>モトイ</t>
    </rPh>
    <rPh sb="30" eb="32">
      <t>サクセイ</t>
    </rPh>
    <rPh sb="33" eb="35">
      <t>ジッサイ</t>
    </rPh>
    <rPh sb="36" eb="38">
      <t>ボシ</t>
    </rPh>
    <rPh sb="38" eb="40">
      <t>テチョウ</t>
    </rPh>
    <rPh sb="41" eb="42">
      <t>カ</t>
    </rPh>
    <rPh sb="49" eb="51">
      <t>サイシン</t>
    </rPh>
    <rPh sb="56" eb="58">
      <t>ネンド</t>
    </rPh>
    <rPh sb="58" eb="60">
      <t>トウケイ</t>
    </rPh>
    <rPh sb="63" eb="66">
      <t>イガクテキ</t>
    </rPh>
    <rPh sb="72" eb="73">
      <t>ネン</t>
    </rPh>
    <rPh sb="73" eb="75">
      <t>トウケイ</t>
    </rPh>
    <rPh sb="75" eb="77">
      <t>シリョウ</t>
    </rPh>
    <rPh sb="78" eb="80">
      <t>シヨウ</t>
    </rPh>
    <phoneticPr fontId="1"/>
  </si>
  <si>
    <t>x=年齢</t>
    <rPh sb="2" eb="4">
      <t>ネンレイ</t>
    </rPh>
    <phoneticPr fontId="1"/>
  </si>
  <si>
    <t>x^3</t>
    <phoneticPr fontId="1"/>
  </si>
  <si>
    <t>x^2</t>
    <phoneticPr fontId="1"/>
  </si>
  <si>
    <t>x</t>
    <phoneticPr fontId="1"/>
  </si>
  <si>
    <t>M</t>
    <phoneticPr fontId="1"/>
  </si>
  <si>
    <t>S</t>
    <phoneticPr fontId="1"/>
  </si>
  <si>
    <t>LMS法の係数は、「乳幼児身体発育調査の統計学的解析とその手法及び利活用に関する研究(2012年)」を参考にした</t>
    <rPh sb="3" eb="4">
      <t>ホウ</t>
    </rPh>
    <rPh sb="5" eb="7">
      <t>ケイスウ</t>
    </rPh>
    <rPh sb="51" eb="53">
      <t>サンコウ</t>
    </rPh>
    <phoneticPr fontId="1"/>
  </si>
  <si>
    <t>頭囲</t>
    <rPh sb="0" eb="2">
      <t>トウイ</t>
    </rPh>
    <phoneticPr fontId="1"/>
  </si>
  <si>
    <t>(cm)</t>
    <phoneticPr fontId="1"/>
  </si>
  <si>
    <t>Zscore</t>
    <phoneticPr fontId="1"/>
  </si>
  <si>
    <t>頭囲平均</t>
    <rPh sb="0" eb="2">
      <t>トウイ</t>
    </rPh>
    <rPh sb="2" eb="4">
      <t>ヘイキン</t>
    </rPh>
    <phoneticPr fontId="1"/>
  </si>
  <si>
    <t>頭囲SD</t>
    <rPh sb="0" eb="2">
      <t>トウイ</t>
    </rPh>
    <phoneticPr fontId="1"/>
  </si>
  <si>
    <t>cm</t>
    <phoneticPr fontId="1"/>
  </si>
  <si>
    <t>cm</t>
    <phoneticPr fontId="1"/>
  </si>
  <si>
    <t>3%tile</t>
  </si>
  <si>
    <t>10%tile</t>
  </si>
  <si>
    <t>25%tile</t>
  </si>
  <si>
    <t>50%tile</t>
  </si>
  <si>
    <t>75%tile</t>
  </si>
  <si>
    <t>90%tile</t>
  </si>
  <si>
    <t>97%tile</t>
  </si>
  <si>
    <t>年y月m</t>
    <rPh sb="0" eb="1">
      <t>トシ</t>
    </rPh>
    <rPh sb="2" eb="3">
      <t>ツキ</t>
    </rPh>
    <phoneticPr fontId="1"/>
  </si>
  <si>
    <t>5日目(推測)</t>
    <rPh sb="1" eb="3">
      <t>カメ</t>
    </rPh>
    <rPh sb="4" eb="6">
      <t>スイソク</t>
    </rPh>
    <phoneticPr fontId="1"/>
  </si>
  <si>
    <t>10%tile</t>
    <phoneticPr fontId="1"/>
  </si>
  <si>
    <t>年齢(歳)</t>
    <rPh sb="0" eb="2">
      <t>ネンレイ</t>
    </rPh>
    <rPh sb="3" eb="4">
      <t>サイ</t>
    </rPh>
    <phoneticPr fontId="1"/>
  </si>
  <si>
    <t>0％</t>
    <phoneticPr fontId="1"/>
  </si>
  <si>
    <t>-10％</t>
    <phoneticPr fontId="1"/>
  </si>
  <si>
    <t>-20％</t>
    <phoneticPr fontId="1"/>
  </si>
  <si>
    <t>幼児肥満度判定曲線</t>
    <rPh sb="0" eb="2">
      <t>ヨウジ</t>
    </rPh>
    <rPh sb="2" eb="5">
      <t>ヒマンド</t>
    </rPh>
    <rPh sb="5" eb="7">
      <t>ハンテイ</t>
    </rPh>
    <rPh sb="7" eb="9">
      <t>キョクセン</t>
    </rPh>
    <phoneticPr fontId="1"/>
  </si>
  <si>
    <t>学童肥満度判定曲線</t>
    <rPh sb="0" eb="2">
      <t>ガクドウ</t>
    </rPh>
    <rPh sb="2" eb="5">
      <t>ヒマンド</t>
    </rPh>
    <rPh sb="5" eb="7">
      <t>ハンテイ</t>
    </rPh>
    <rPh sb="7" eb="9">
      <t>キョクセン</t>
    </rPh>
    <phoneticPr fontId="1"/>
  </si>
  <si>
    <t>-15％積み上げ</t>
    <rPh sb="4" eb="5">
      <t>ツ</t>
    </rPh>
    <rPh sb="6" eb="7">
      <t>ア</t>
    </rPh>
    <phoneticPr fontId="1"/>
  </si>
  <si>
    <t>+15％積み上げ</t>
    <rPh sb="4" eb="5">
      <t>ツ</t>
    </rPh>
    <rPh sb="6" eb="7">
      <t>ア</t>
    </rPh>
    <phoneticPr fontId="1"/>
  </si>
  <si>
    <t>伊藤式標準体重</t>
    <rPh sb="0" eb="2">
      <t>イトウ</t>
    </rPh>
    <rPh sb="2" eb="3">
      <t>シキ</t>
    </rPh>
    <rPh sb="3" eb="5">
      <t>ヒョウジュン</t>
    </rPh>
    <rPh sb="5" eb="7">
      <t>タイジュウ</t>
    </rPh>
    <phoneticPr fontId="1"/>
  </si>
  <si>
    <t>-10％積み上げ</t>
    <rPh sb="4" eb="5">
      <t>ツ</t>
    </rPh>
    <rPh sb="6" eb="7">
      <t>ア</t>
    </rPh>
    <phoneticPr fontId="1"/>
  </si>
  <si>
    <t>+20％積み上げ</t>
    <rPh sb="4" eb="5">
      <t>ツ</t>
    </rPh>
    <rPh sb="6" eb="7">
      <t>ア</t>
    </rPh>
    <phoneticPr fontId="1"/>
  </si>
  <si>
    <t>体重SD</t>
    <phoneticPr fontId="1"/>
  </si>
  <si>
    <t>速度SD</t>
    <phoneticPr fontId="1"/>
  </si>
  <si>
    <t>S列</t>
    <phoneticPr fontId="1"/>
  </si>
  <si>
    <t>平均年齢</t>
    <phoneticPr fontId="1"/>
  </si>
  <si>
    <t>成長速度平均</t>
    <phoneticPr fontId="1"/>
  </si>
  <si>
    <t>L</t>
    <phoneticPr fontId="1"/>
  </si>
  <si>
    <t>M列</t>
    <phoneticPr fontId="1"/>
  </si>
  <si>
    <t>小児科医当直医マニュアル 第12版(治療と診断社)より引用。多分データは鈴木潤一：低身長に対する診断アプローチ. 小児内科 42 531-537, 2010 と同じ。</t>
    <rPh sb="0" eb="4">
      <t>ショウニカイ</t>
    </rPh>
    <rPh sb="4" eb="7">
      <t>トウチョクイ</t>
    </rPh>
    <rPh sb="13" eb="14">
      <t>ダイ</t>
    </rPh>
    <rPh sb="16" eb="17">
      <t>ハン</t>
    </rPh>
    <rPh sb="18" eb="20">
      <t>チリョウ</t>
    </rPh>
    <rPh sb="21" eb="23">
      <t>シンダン</t>
    </rPh>
    <rPh sb="23" eb="24">
      <t>シャ</t>
    </rPh>
    <rPh sb="27" eb="29">
      <t>インヨウ</t>
    </rPh>
    <rPh sb="30" eb="32">
      <t>タブン</t>
    </rPh>
    <rPh sb="80" eb="81">
      <t>オナ</t>
    </rPh>
    <phoneticPr fontId="1"/>
  </si>
  <si>
    <t>胸囲</t>
    <rPh sb="0" eb="2">
      <t>キョウイ</t>
    </rPh>
    <phoneticPr fontId="1"/>
  </si>
  <si>
    <t>(cm)</t>
    <phoneticPr fontId="1"/>
  </si>
  <si>
    <t>月齢2</t>
    <rPh sb="0" eb="2">
      <t>ゲツレイ</t>
    </rPh>
    <phoneticPr fontId="1"/>
  </si>
  <si>
    <t>L</t>
    <phoneticPr fontId="1"/>
  </si>
  <si>
    <t>M</t>
    <phoneticPr fontId="1"/>
  </si>
  <si>
    <t>S</t>
    <phoneticPr fontId="1"/>
  </si>
  <si>
    <t>胸囲</t>
    <rPh sb="0" eb="2">
      <t>キョウイ</t>
    </rPh>
    <phoneticPr fontId="1"/>
  </si>
  <si>
    <t>BMI Zscore</t>
    <phoneticPr fontId="1"/>
  </si>
  <si>
    <t>頭囲 Zscore</t>
    <rPh sb="0" eb="2">
      <t>トウイ</t>
    </rPh>
    <phoneticPr fontId="1"/>
  </si>
  <si>
    <t>胸囲 Zscore</t>
    <rPh sb="0" eb="2">
      <t>キョウイ</t>
    </rPh>
    <phoneticPr fontId="1"/>
  </si>
  <si>
    <t>-2.5SD</t>
    <phoneticPr fontId="1"/>
  </si>
  <si>
    <t>SD</t>
    <phoneticPr fontId="1"/>
  </si>
  <si>
    <t>+1SD</t>
    <phoneticPr fontId="1"/>
  </si>
  <si>
    <t>-1SD</t>
    <phoneticPr fontId="1"/>
  </si>
  <si>
    <t>-3SD</t>
    <phoneticPr fontId="1"/>
  </si>
  <si>
    <t>平均身長</t>
    <phoneticPr fontId="1"/>
  </si>
  <si>
    <t>年齢</t>
    <phoneticPr fontId="1"/>
  </si>
  <si>
    <t>成長速度</t>
    <phoneticPr fontId="1"/>
  </si>
  <si>
    <t>年齢</t>
    <phoneticPr fontId="1"/>
  </si>
  <si>
    <t>月齢</t>
    <phoneticPr fontId="1"/>
  </si>
  <si>
    <t>BMI</t>
    <phoneticPr fontId="1"/>
  </si>
  <si>
    <t>身長</t>
    <phoneticPr fontId="1"/>
  </si>
  <si>
    <t>-SD</t>
    <phoneticPr fontId="1"/>
  </si>
  <si>
    <t>mean</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</si>
</sst>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Red]\(0\)"/>
    <numFmt numFmtId="177" formatCode="0.00_);[Red]\(0.00\)"/>
    <numFmt numFmtId="178" formatCode="0.00_ "/>
    <numFmt numFmtId="179" formatCode="0.0_ "/>
    <numFmt numFmtId="180" formatCode="0.0_);[Red]\(0.0\)"/>
    <numFmt numFmtId="181" formatCode="0.000000000_ "/>
    <numFmt numFmtId="182" formatCode="0.0000000000_ "/>
    <numFmt numFmtId="183" formatCode="0.00000E+00"/>
    <numFmt numFmtId="184" formatCode="0.00000000_ "/>
    <numFmt numFmtId="185" formatCode="0.000000_ "/>
    <numFmt numFmtId="186" formatCode="0.000_ "/>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1"/>
      <color theme="0"/>
      <name val="ＭＳ Ｐゴシック"/>
      <family val="3"/>
      <charset val="128"/>
      <scheme val="minor"/>
    </font>
    <font>
      <sz val="11"/>
      <name val="ＭＳ Ｐゴシック"/>
      <family val="3"/>
      <charset val="128"/>
    </font>
    <font>
      <sz val="6"/>
      <name val="ＭＳ Ｐゴシック"/>
      <charset val="128"/>
    </font>
    <font>
      <b/>
      <sz val="7"/>
      <color theme="0"/>
      <name val="ＭＳ Ｐゴシック"/>
      <family val="3"/>
      <charset val="128"/>
      <scheme val="minor"/>
    </font>
    <font>
      <b/>
      <sz val="6"/>
      <color theme="0"/>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name val="ＭＳ Ｐゴシック"/>
      <family val="2"/>
      <charset val="128"/>
      <scheme val="minor"/>
    </font>
    <font>
      <b/>
      <sz val="9"/>
      <name val="ＭＳ Ｐゴシック"/>
      <family val="2"/>
      <charset val="128"/>
      <scheme val="minor"/>
    </font>
  </fonts>
  <fills count="7">
    <fill>
      <patternFill patternType="none"/>
    </fill>
    <fill>
      <patternFill patternType="gray125"/>
    </fill>
    <fill>
      <patternFill patternType="solid">
        <fgColor rgb="FF7030A0"/>
        <bgColor indexed="64"/>
      </patternFill>
    </fill>
    <fill>
      <patternFill patternType="solid">
        <fgColor indexed="40"/>
        <bgColor indexed="64"/>
      </patternFill>
    </fill>
    <fill>
      <patternFill patternType="solid">
        <fgColor indexed="14"/>
        <bgColor indexed="64"/>
      </patternFill>
    </fill>
    <fill>
      <patternFill patternType="solid">
        <fgColor indexed="15"/>
        <bgColor indexed="64"/>
      </patternFill>
    </fill>
    <fill>
      <patternFill patternType="solid">
        <fgColor indexed="47"/>
        <bgColor indexed="64"/>
      </patternFill>
    </fill>
  </fills>
  <borders count="52">
    <border>
      <left/>
      <right/>
      <top/>
      <bottom/>
      <diagonal/>
    </border>
    <border>
      <left style="thin">
        <color theme="0" tint="-0.34998626667073579"/>
      </left>
      <right style="thin">
        <color theme="0" tint="-0.34998626667073579"/>
      </right>
      <top style="thick">
        <color theme="1"/>
      </top>
      <bottom/>
      <diagonal/>
    </border>
    <border>
      <left style="thin">
        <color theme="0" tint="-0.34998626667073579"/>
      </left>
      <right style="thin">
        <color theme="0" tint="-0.34998626667073579"/>
      </right>
      <top/>
      <bottom style="double">
        <color theme="1"/>
      </bottom>
      <diagonal/>
    </border>
    <border>
      <left style="thin">
        <color theme="0" tint="-0.34998626667073579"/>
      </left>
      <right/>
      <top style="thick">
        <color theme="1"/>
      </top>
      <bottom/>
      <diagonal/>
    </border>
    <border>
      <left style="thin">
        <color theme="0" tint="-0.34998626667073579"/>
      </left>
      <right style="thick">
        <color theme="1"/>
      </right>
      <top style="thin">
        <color theme="0" tint="-0.34998626667073579"/>
      </top>
      <bottom style="double">
        <color theme="1"/>
      </bottom>
      <diagonal/>
    </border>
    <border>
      <left style="thin">
        <color theme="0" tint="-0.34998626667073579"/>
      </left>
      <right style="thin">
        <color theme="0" tint="-0.34998626667073579"/>
      </right>
      <top style="thin">
        <color theme="0" tint="-0.34998626667073579"/>
      </top>
      <bottom style="double">
        <color theme="1"/>
      </bottom>
      <diagonal/>
    </border>
    <border>
      <left style="thin">
        <color theme="0" tint="-0.34998626667073579"/>
      </left>
      <right/>
      <top/>
      <bottom style="double">
        <color theme="1"/>
      </bottom>
      <diagonal/>
    </border>
    <border>
      <left style="thick">
        <color theme="1"/>
      </left>
      <right style="thin">
        <color theme="0" tint="-0.34998626667073579"/>
      </right>
      <top style="thick">
        <color theme="1"/>
      </top>
      <bottom style="thin">
        <color theme="0" tint="-0.34998626667073579"/>
      </bottom>
      <diagonal/>
    </border>
    <border>
      <left style="thin">
        <color theme="0" tint="-0.34998626667073579"/>
      </left>
      <right style="thin">
        <color theme="0" tint="-0.34998626667073579"/>
      </right>
      <top style="thick">
        <color theme="1"/>
      </top>
      <bottom style="thin">
        <color theme="0" tint="-0.34998626667073579"/>
      </bottom>
      <diagonal/>
    </border>
    <border>
      <left style="thin">
        <color theme="0" tint="-0.34998626667073579"/>
      </left>
      <right style="thick">
        <color theme="1"/>
      </right>
      <top style="thick">
        <color theme="1"/>
      </top>
      <bottom style="thin">
        <color theme="0" tint="-0.34998626667073579"/>
      </bottom>
      <diagonal/>
    </border>
    <border>
      <left style="thick">
        <color theme="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1"/>
      </right>
      <top style="thin">
        <color theme="0" tint="-0.34998626667073579"/>
      </top>
      <bottom style="thin">
        <color theme="0" tint="-0.34998626667073579"/>
      </bottom>
      <diagonal/>
    </border>
    <border>
      <left style="thick">
        <color theme="1"/>
      </left>
      <right style="thin">
        <color theme="0" tint="-0.34998626667073579"/>
      </right>
      <top style="thin">
        <color theme="0" tint="-0.34998626667073579"/>
      </top>
      <bottom style="thick">
        <color theme="1"/>
      </bottom>
      <diagonal/>
    </border>
    <border>
      <left style="thin">
        <color theme="0" tint="-0.34998626667073579"/>
      </left>
      <right style="thin">
        <color theme="0" tint="-0.34998626667073579"/>
      </right>
      <top style="thin">
        <color theme="0" tint="-0.34998626667073579"/>
      </top>
      <bottom style="thick">
        <color theme="1"/>
      </bottom>
      <diagonal/>
    </border>
    <border>
      <left style="thin">
        <color theme="0" tint="-0.34998626667073579"/>
      </left>
      <right style="thick">
        <color theme="1"/>
      </right>
      <top style="thin">
        <color theme="0" tint="-0.34998626667073579"/>
      </top>
      <bottom style="thick">
        <color theme="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ck">
        <color theme="1"/>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ck">
        <color theme="1"/>
      </bottom>
      <diagonal/>
    </border>
    <border>
      <left style="thick">
        <color rgb="FF000000"/>
      </left>
      <right style="thin">
        <color theme="0" tint="-0.34998626667073579"/>
      </right>
      <top style="thick">
        <color rgb="FF000000"/>
      </top>
      <bottom style="thin">
        <color theme="0" tint="-0.34998626667073579"/>
      </bottom>
      <diagonal/>
    </border>
    <border>
      <left style="thin">
        <color theme="0" tint="-0.34998626667073579"/>
      </left>
      <right style="thin">
        <color theme="0" tint="-0.34998626667073579"/>
      </right>
      <top style="thick">
        <color rgb="FF000000"/>
      </top>
      <bottom style="thin">
        <color theme="0" tint="-0.34998626667073579"/>
      </bottom>
      <diagonal/>
    </border>
    <border>
      <left style="thin">
        <color theme="0" tint="-0.34998626667073579"/>
      </left>
      <right style="thick">
        <color rgb="FF000000"/>
      </right>
      <top style="thick">
        <color rgb="FF000000"/>
      </top>
      <bottom style="thin">
        <color theme="0" tint="-0.34998626667073579"/>
      </bottom>
      <diagonal/>
    </border>
    <border>
      <left style="thick">
        <color rgb="FF000000"/>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rgb="FF000000"/>
      </right>
      <top style="thin">
        <color theme="0" tint="-0.34998626667073579"/>
      </top>
      <bottom style="thin">
        <color theme="0" tint="-0.34998626667073579"/>
      </bottom>
      <diagonal/>
    </border>
    <border>
      <left style="thick">
        <color rgb="FF000000"/>
      </left>
      <right style="thin">
        <color theme="0" tint="-0.34998626667073579"/>
      </right>
      <top style="thin">
        <color theme="0" tint="-0.34998626667073579"/>
      </top>
      <bottom style="thick">
        <color rgb="FF000000"/>
      </bottom>
      <diagonal/>
    </border>
    <border>
      <left style="thin">
        <color theme="0" tint="-0.34998626667073579"/>
      </left>
      <right style="thin">
        <color theme="0" tint="-0.34998626667073579"/>
      </right>
      <top style="thin">
        <color theme="0" tint="-0.34998626667073579"/>
      </top>
      <bottom style="thick">
        <color rgb="FF000000"/>
      </bottom>
      <diagonal/>
    </border>
    <border>
      <left style="thin">
        <color theme="0" tint="-0.34998626667073579"/>
      </left>
      <right style="thick">
        <color rgb="FF000000"/>
      </right>
      <top style="thin">
        <color theme="0" tint="-0.34998626667073579"/>
      </top>
      <bottom style="thick">
        <color rgb="FF000000"/>
      </bottom>
      <diagonal/>
    </border>
    <border>
      <left style="thin">
        <color theme="0" tint="-0.34998626667073579"/>
      </left>
      <right/>
      <top style="thick">
        <color rgb="FF000000"/>
      </top>
      <bottom style="thin">
        <color theme="0" tint="-0.34998626667073579"/>
      </bottom>
      <diagonal/>
    </border>
    <border>
      <left/>
      <right style="thick">
        <color rgb="FF000000"/>
      </right>
      <top style="thick">
        <color rgb="FF000000"/>
      </top>
      <bottom style="thin">
        <color theme="0" tint="-0.34998626667073579"/>
      </bottom>
      <diagonal/>
    </border>
    <border>
      <left style="thin">
        <color theme="0" tint="-0.34998626667073579"/>
      </left>
      <right/>
      <top style="thin">
        <color theme="0" tint="-0.34998626667073579"/>
      </top>
      <bottom style="thick">
        <color rgb="FF000000"/>
      </bottom>
      <diagonal/>
    </border>
    <border>
      <left/>
      <right style="thick">
        <color rgb="FF000000"/>
      </right>
      <top style="thin">
        <color theme="0" tint="-0.34998626667073579"/>
      </top>
      <bottom style="thick">
        <color rgb="FF000000"/>
      </bottom>
      <diagonal/>
    </border>
    <border>
      <left style="thick">
        <color rgb="FF000000"/>
      </left>
      <right/>
      <top style="thick">
        <color rgb="FF000000"/>
      </top>
      <bottom style="thin">
        <color theme="0" tint="-0.34998626667073579"/>
      </bottom>
      <diagonal/>
    </border>
    <border>
      <left/>
      <right/>
      <top style="thick">
        <color rgb="FF000000"/>
      </top>
      <bottom style="thin">
        <color theme="0" tint="-0.34998626667073579"/>
      </bottom>
      <diagonal/>
    </border>
    <border>
      <left style="thick">
        <color rgb="FF000000"/>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ck">
        <color rgb="FF000000"/>
      </right>
      <top style="thin">
        <color theme="0" tint="-0.34998626667073579"/>
      </top>
      <bottom style="thin">
        <color theme="0" tint="-0.34998626667073579"/>
      </bottom>
      <diagonal/>
    </border>
    <border>
      <left style="thick">
        <color rgb="FF000000"/>
      </left>
      <right/>
      <top style="thin">
        <color theme="0" tint="-0.34998626667073579"/>
      </top>
      <bottom style="thick">
        <color rgb="FF000000"/>
      </bottom>
      <diagonal/>
    </border>
    <border>
      <left/>
      <right/>
      <top style="thin">
        <color theme="0" tint="-0.34998626667073579"/>
      </top>
      <bottom style="thick">
        <color rgb="FF000000"/>
      </bottom>
      <diagonal/>
    </border>
    <border>
      <left style="double">
        <color theme="0" tint="-0.34998626667073579"/>
      </left>
      <right style="thin">
        <color theme="0" tint="-0.34998626667073579"/>
      </right>
      <top style="thick">
        <color theme="1"/>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double">
        <color theme="0" tint="-0.34998626667073579"/>
      </left>
      <right style="thin">
        <color theme="0" tint="-0.34998626667073579"/>
      </right>
      <top/>
      <bottom style="thin">
        <color theme="0" tint="-0.34998626667073579"/>
      </bottom>
      <diagonal/>
    </border>
    <border>
      <left style="thick">
        <color theme="1"/>
      </left>
      <right style="thin">
        <color theme="0" tint="-0.34998626667073579"/>
      </right>
      <top/>
      <bottom style="thin">
        <color theme="0" tint="-0.34998626667073579"/>
      </bottom>
      <diagonal/>
    </border>
    <border>
      <left style="thin">
        <color theme="0" tint="-0.34998626667073579"/>
      </left>
      <right style="thick">
        <color theme="1"/>
      </right>
      <top/>
      <bottom style="thin">
        <color theme="0" tint="-0.34998626667073579"/>
      </bottom>
      <diagonal/>
    </border>
    <border>
      <left style="thick">
        <color theme="1"/>
      </left>
      <right style="thin">
        <color theme="0" tint="-0.34998626667073579"/>
      </right>
      <top style="thin">
        <color theme="0" tint="-0.34998626667073579"/>
      </top>
      <bottom style="double">
        <color theme="1"/>
      </bottom>
      <diagonal/>
    </border>
    <border>
      <left style="double">
        <color theme="0" tint="-0.34998626667073579"/>
      </left>
      <right style="thin">
        <color theme="0" tint="-0.34998626667073579"/>
      </right>
      <top/>
      <bottom style="double">
        <color theme="1"/>
      </bottom>
      <diagonal/>
    </border>
    <border>
      <left style="thin">
        <color theme="0" tint="-0.34998626667073579"/>
      </left>
      <right style="double">
        <color theme="0" tint="-0.34998626667073579"/>
      </right>
      <top style="thick">
        <color theme="1"/>
      </top>
      <bottom/>
      <diagonal/>
    </border>
    <border>
      <left style="thin">
        <color theme="0" tint="-0.34998626667073579"/>
      </left>
      <right style="double">
        <color theme="0" tint="-0.34998626667073579"/>
      </right>
      <top/>
      <bottom style="double">
        <color theme="1"/>
      </bottom>
      <diagonal/>
    </border>
    <border>
      <left style="thin">
        <color theme="0" tint="-0.34998626667073579"/>
      </left>
      <right style="double">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ck">
        <color theme="1"/>
      </bottom>
      <diagonal/>
    </border>
  </borders>
  <cellStyleXfs count="2">
    <xf numFmtId="0" fontId="0" fillId="0" borderId="0">
      <alignment vertical="center"/>
    </xf>
    <xf numFmtId="0" fontId="4" fillId="0" borderId="0">
      <alignment vertical="center"/>
    </xf>
  </cellStyleXfs>
  <cellXfs count="122">
    <xf numFmtId="0" fontId="0" fillId="0" borderId="0" xfId="0">
      <alignment vertical="center"/>
    </xf>
    <xf numFmtId="0" fontId="0" fillId="0" borderId="0" xfId="0" quotePrefix="1">
      <alignment vertical="center"/>
    </xf>
    <xf numFmtId="0" fontId="0" fillId="0" borderId="0" xfId="0" applyNumberFormat="1">
      <alignment vertical="center"/>
    </xf>
    <xf numFmtId="178" fontId="0" fillId="0" borderId="0" xfId="0" applyNumberFormat="1">
      <alignment vertical="center"/>
    </xf>
    <xf numFmtId="0" fontId="4" fillId="0" borderId="0" xfId="1">
      <alignment vertical="center"/>
    </xf>
    <xf numFmtId="0" fontId="4" fillId="3" borderId="0" xfId="1" applyFill="1">
      <alignment vertical="center"/>
    </xf>
    <xf numFmtId="181" fontId="4" fillId="0" borderId="0" xfId="1" applyNumberFormat="1">
      <alignment vertical="center"/>
    </xf>
    <xf numFmtId="0" fontId="4" fillId="4" borderId="0" xfId="1" applyFill="1">
      <alignment vertical="center"/>
    </xf>
    <xf numFmtId="182" fontId="4" fillId="0" borderId="0" xfId="1" applyNumberFormat="1">
      <alignment vertical="center"/>
    </xf>
    <xf numFmtId="183" fontId="4" fillId="0" borderId="0" xfId="1" applyNumberFormat="1">
      <alignment vertical="center"/>
    </xf>
    <xf numFmtId="184" fontId="4" fillId="0" borderId="0" xfId="1" applyNumberFormat="1">
      <alignment vertical="center"/>
    </xf>
    <xf numFmtId="185" fontId="4" fillId="0" borderId="0" xfId="1" applyNumberFormat="1">
      <alignment vertical="center"/>
    </xf>
    <xf numFmtId="186" fontId="4" fillId="0" borderId="0" xfId="1" applyNumberFormat="1">
      <alignment vertical="center"/>
    </xf>
    <xf numFmtId="0" fontId="4" fillId="0" borderId="0" xfId="1" applyBorder="1">
      <alignment vertical="center"/>
    </xf>
    <xf numFmtId="0" fontId="4" fillId="6" borderId="0" xfId="1" applyFill="1" applyBorder="1">
      <alignment vertical="center"/>
    </xf>
    <xf numFmtId="0" fontId="4" fillId="5" borderId="0" xfId="1" applyFill="1" applyBorder="1">
      <alignment vertical="center"/>
    </xf>
    <xf numFmtId="0" fontId="3" fillId="2" borderId="1"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0" fillId="0" borderId="0" xfId="0" applyFill="1" applyBorder="1" applyAlignment="1" applyProtection="1">
      <alignment vertical="center" wrapText="1"/>
    </xf>
    <xf numFmtId="0" fontId="2" fillId="0" borderId="0" xfId="0" applyFont="1" applyFill="1" applyBorder="1" applyAlignment="1" applyProtection="1">
      <alignment vertical="center" wrapText="1"/>
    </xf>
    <xf numFmtId="179" fontId="0" fillId="0" borderId="0" xfId="0" applyNumberFormat="1" applyFill="1" applyBorder="1" applyProtection="1">
      <alignment vertical="center"/>
    </xf>
    <xf numFmtId="0" fontId="0" fillId="0" borderId="0" xfId="0" applyFill="1" applyBorder="1" applyProtection="1">
      <alignment vertical="center"/>
    </xf>
    <xf numFmtId="9" fontId="0" fillId="0" borderId="0" xfId="0" quotePrefix="1" applyNumberFormat="1">
      <alignment vertical="center"/>
    </xf>
    <xf numFmtId="0" fontId="2" fillId="0" borderId="0" xfId="0" applyFont="1" applyFill="1" applyBorder="1" applyProtection="1">
      <alignment vertical="center"/>
    </xf>
    <xf numFmtId="0" fontId="3" fillId="2" borderId="3"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3" fillId="2" borderId="1" xfId="0" applyFont="1" applyFill="1" applyBorder="1" applyAlignment="1" applyProtection="1">
      <alignment horizontal="center" vertical="center" wrapText="1"/>
    </xf>
    <xf numFmtId="179" fontId="3" fillId="2" borderId="1" xfId="0" applyNumberFormat="1" applyFont="1" applyFill="1" applyBorder="1" applyAlignment="1" applyProtection="1">
      <alignment horizontal="center" vertical="center" wrapText="1"/>
    </xf>
    <xf numFmtId="179" fontId="6" fillId="2" borderId="2" xfId="0" applyNumberFormat="1" applyFont="1" applyFill="1" applyBorder="1" applyAlignment="1" applyProtection="1">
      <alignment horizontal="center" vertical="center" wrapText="1"/>
    </xf>
    <xf numFmtId="179" fontId="7" fillId="2" borderId="1" xfId="0" applyNumberFormat="1" applyFont="1" applyFill="1" applyBorder="1" applyAlignment="1" applyProtection="1">
      <alignment horizontal="center" vertical="center" wrapText="1"/>
    </xf>
    <xf numFmtId="179" fontId="7" fillId="2" borderId="2" xfId="0" applyNumberFormat="1" applyFont="1" applyFill="1" applyBorder="1" applyAlignment="1" applyProtection="1">
      <alignment horizontal="center" vertical="center" wrapText="1"/>
    </xf>
    <xf numFmtId="180" fontId="7" fillId="2" borderId="5" xfId="0" applyNumberFormat="1" applyFont="1" applyFill="1" applyBorder="1" applyAlignment="1" applyProtection="1">
      <alignment horizontal="center" vertical="center" wrapText="1"/>
    </xf>
    <xf numFmtId="179" fontId="7" fillId="2" borderId="4" xfId="0" applyNumberFormat="1" applyFont="1" applyFill="1" applyBorder="1" applyAlignment="1" applyProtection="1">
      <alignment horizontal="center" vertical="center" wrapText="1"/>
    </xf>
    <xf numFmtId="14" fontId="0" fillId="0" borderId="10" xfId="0" applyNumberFormat="1" applyBorder="1" applyProtection="1">
      <alignment vertical="center"/>
      <protection locked="0"/>
    </xf>
    <xf numFmtId="0" fontId="0" fillId="0" borderId="11" xfId="0" applyBorder="1" applyProtection="1">
      <alignment vertical="center"/>
      <protection locked="0"/>
    </xf>
    <xf numFmtId="176" fontId="0" fillId="0" borderId="11" xfId="0" applyNumberFormat="1" applyFill="1" applyBorder="1" applyProtection="1">
      <alignment vertical="center"/>
    </xf>
    <xf numFmtId="0" fontId="2" fillId="0" borderId="11" xfId="0" applyNumberFormat="1" applyFont="1" applyFill="1" applyBorder="1" applyProtection="1">
      <alignment vertical="center"/>
    </xf>
    <xf numFmtId="179" fontId="2" fillId="0" borderId="11" xfId="0" applyNumberFormat="1" applyFont="1" applyFill="1" applyBorder="1" applyProtection="1">
      <alignment vertical="center"/>
    </xf>
    <xf numFmtId="179" fontId="0" fillId="0" borderId="11" xfId="0" applyNumberFormat="1" applyFill="1" applyBorder="1" applyProtection="1">
      <alignment vertical="center"/>
    </xf>
    <xf numFmtId="179" fontId="2" fillId="0" borderId="12" xfId="0" applyNumberFormat="1" applyFont="1" applyFill="1" applyBorder="1" applyProtection="1">
      <alignment vertical="center"/>
    </xf>
    <xf numFmtId="14" fontId="0" fillId="0" borderId="13" xfId="0" applyNumberFormat="1" applyBorder="1" applyProtection="1">
      <alignment vertical="center"/>
      <protection locked="0"/>
    </xf>
    <xf numFmtId="0" fontId="0" fillId="0" borderId="14" xfId="0" applyBorder="1" applyProtection="1">
      <alignment vertical="center"/>
      <protection locked="0"/>
    </xf>
    <xf numFmtId="176" fontId="0" fillId="0" borderId="14" xfId="0" applyNumberFormat="1" applyFill="1" applyBorder="1" applyProtection="1">
      <alignment vertical="center"/>
    </xf>
    <xf numFmtId="0" fontId="2" fillId="0" borderId="14" xfId="0" applyNumberFormat="1" applyFont="1" applyFill="1" applyBorder="1" applyProtection="1">
      <alignment vertical="center"/>
    </xf>
    <xf numFmtId="179" fontId="2" fillId="0" borderId="14" xfId="0" applyNumberFormat="1" applyFont="1" applyFill="1" applyBorder="1" applyProtection="1">
      <alignment vertical="center"/>
    </xf>
    <xf numFmtId="179" fontId="0" fillId="0" borderId="14" xfId="0" applyNumberFormat="1" applyFill="1" applyBorder="1" applyProtection="1">
      <alignment vertical="center"/>
    </xf>
    <xf numFmtId="179" fontId="2" fillId="0" borderId="15" xfId="0" applyNumberFormat="1" applyFont="1" applyFill="1" applyBorder="1" applyProtection="1">
      <alignment vertical="center"/>
    </xf>
    <xf numFmtId="0" fontId="0" fillId="0" borderId="16" xfId="0" applyBorder="1" applyProtection="1">
      <alignment vertical="center"/>
      <protection locked="0"/>
    </xf>
    <xf numFmtId="0" fontId="0" fillId="0" borderId="17" xfId="0" applyBorder="1" applyProtection="1">
      <alignment vertical="center"/>
      <protection locked="0"/>
    </xf>
    <xf numFmtId="176" fontId="0" fillId="0" borderId="18" xfId="0" applyNumberFormat="1" applyFill="1" applyBorder="1" applyProtection="1">
      <alignment vertical="center"/>
    </xf>
    <xf numFmtId="176" fontId="0" fillId="0" borderId="19" xfId="0" applyNumberFormat="1" applyFill="1" applyBorder="1" applyProtection="1">
      <alignment vertical="center"/>
    </xf>
    <xf numFmtId="0" fontId="3" fillId="2" borderId="20" xfId="0" applyFont="1" applyFill="1" applyBorder="1" applyProtection="1">
      <alignment vertical="center"/>
    </xf>
    <xf numFmtId="0" fontId="3" fillId="2" borderId="23" xfId="0" applyFont="1" applyFill="1" applyBorder="1" applyProtection="1">
      <alignment vertical="center"/>
    </xf>
    <xf numFmtId="0" fontId="3" fillId="2" borderId="25" xfId="0" applyFont="1" applyFill="1" applyBorder="1" applyProtection="1">
      <alignment vertical="center"/>
    </xf>
    <xf numFmtId="0" fontId="0" fillId="0" borderId="28" xfId="0" applyFill="1" applyBorder="1" applyProtection="1">
      <alignment vertical="center"/>
      <protection locked="0"/>
    </xf>
    <xf numFmtId="179" fontId="0" fillId="0" borderId="29" xfId="0" applyNumberFormat="1" applyFill="1" applyBorder="1" applyProtection="1">
      <alignment vertical="center"/>
    </xf>
    <xf numFmtId="0" fontId="0" fillId="0" borderId="30" xfId="0" applyFill="1" applyBorder="1" applyProtection="1">
      <alignment vertical="center"/>
      <protection locked="0"/>
    </xf>
    <xf numFmtId="179" fontId="0" fillId="0" borderId="31" xfId="0" applyNumberFormat="1" applyFill="1" applyBorder="1" applyProtection="1">
      <alignment vertical="center"/>
    </xf>
    <xf numFmtId="0" fontId="0" fillId="0" borderId="33" xfId="0" applyFill="1" applyBorder="1" applyProtection="1">
      <alignment vertical="center"/>
    </xf>
    <xf numFmtId="0" fontId="0" fillId="0" borderId="35" xfId="0" applyFill="1" applyBorder="1" applyProtection="1">
      <alignment vertical="center"/>
    </xf>
    <xf numFmtId="179" fontId="0" fillId="0" borderId="36" xfId="0" applyNumberFormat="1" applyFill="1" applyBorder="1" applyProtection="1">
      <alignment vertical="center"/>
    </xf>
    <xf numFmtId="0" fontId="0" fillId="0" borderId="38" xfId="0" applyFill="1" applyBorder="1" applyProtection="1">
      <alignment vertical="center"/>
    </xf>
    <xf numFmtId="14" fontId="0" fillId="0" borderId="43" xfId="0" applyNumberFormat="1" applyBorder="1" applyProtection="1">
      <alignment vertical="center"/>
      <protection locked="0"/>
    </xf>
    <xf numFmtId="0" fontId="0" fillId="0" borderId="40" xfId="0" applyBorder="1" applyProtection="1">
      <alignment vertical="center"/>
      <protection locked="0"/>
    </xf>
    <xf numFmtId="0" fontId="0" fillId="0" borderId="41" xfId="0" applyBorder="1" applyProtection="1">
      <alignment vertical="center"/>
      <protection locked="0"/>
    </xf>
    <xf numFmtId="176" fontId="0" fillId="0" borderId="42" xfId="0" applyNumberFormat="1" applyFill="1" applyBorder="1" applyProtection="1">
      <alignment vertical="center"/>
    </xf>
    <xf numFmtId="176" fontId="0" fillId="0" borderId="40" xfId="0" applyNumberFormat="1" applyFill="1" applyBorder="1" applyProtection="1">
      <alignment vertical="center"/>
    </xf>
    <xf numFmtId="0" fontId="2" fillId="0" borderId="40" xfId="0" applyNumberFormat="1" applyFont="1" applyFill="1" applyBorder="1" applyProtection="1">
      <alignment vertical="center"/>
    </xf>
    <xf numFmtId="179" fontId="2" fillId="0" borderId="40" xfId="0" applyNumberFormat="1" applyFont="1" applyFill="1" applyBorder="1" applyProtection="1">
      <alignment vertical="center"/>
    </xf>
    <xf numFmtId="179" fontId="0" fillId="0" borderId="40" xfId="0" applyNumberFormat="1" applyFill="1" applyBorder="1" applyProtection="1">
      <alignment vertical="center"/>
    </xf>
    <xf numFmtId="179" fontId="2" fillId="0" borderId="44" xfId="0" applyNumberFormat="1" applyFont="1" applyFill="1" applyBorder="1" applyProtection="1">
      <alignment vertical="center"/>
    </xf>
    <xf numFmtId="0" fontId="3" fillId="2" borderId="47"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0" fillId="0" borderId="49" xfId="0" applyBorder="1" applyProtection="1">
      <alignment vertical="center"/>
      <protection locked="0"/>
    </xf>
    <xf numFmtId="0" fontId="0" fillId="0" borderId="50" xfId="0" applyBorder="1" applyProtection="1">
      <alignment vertical="center"/>
      <protection locked="0"/>
    </xf>
    <xf numFmtId="0" fontId="0" fillId="0" borderId="51" xfId="0" applyBorder="1" applyProtection="1">
      <alignment vertical="center"/>
      <protection locked="0"/>
    </xf>
    <xf numFmtId="179" fontId="8" fillId="0" borderId="0" xfId="0" applyNumberFormat="1" applyFont="1" applyFill="1" applyBorder="1" applyAlignment="1" applyProtection="1">
      <alignment vertical="center"/>
    </xf>
    <xf numFmtId="177" fontId="8" fillId="0" borderId="0" xfId="0" applyNumberFormat="1" applyFont="1" applyFill="1" applyBorder="1" applyProtection="1">
      <alignment vertical="center"/>
    </xf>
    <xf numFmtId="0" fontId="8" fillId="0" borderId="0" xfId="0" applyNumberFormat="1" applyFont="1" applyFill="1" applyBorder="1" applyProtection="1">
      <alignment vertical="center"/>
    </xf>
    <xf numFmtId="0" fontId="8" fillId="0" borderId="0" xfId="0" applyFont="1" applyFill="1" applyBorder="1" applyProtection="1">
      <alignment vertical="center"/>
    </xf>
    <xf numFmtId="179" fontId="8" fillId="0" borderId="0" xfId="0" applyNumberFormat="1" applyFont="1" applyFill="1" applyBorder="1" applyProtection="1">
      <alignment vertical="center"/>
    </xf>
    <xf numFmtId="0" fontId="8" fillId="0" borderId="0" xfId="0" applyFont="1" applyFill="1" applyBorder="1" applyAlignment="1" applyProtection="1">
      <alignment vertical="center"/>
    </xf>
    <xf numFmtId="177" fontId="8"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xf>
    <xf numFmtId="179" fontId="9"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xf>
    <xf numFmtId="0" fontId="9" fillId="0" borderId="0" xfId="0" applyFont="1">
      <alignment vertical="center"/>
    </xf>
    <xf numFmtId="179" fontId="9" fillId="0" borderId="0" xfId="0" applyNumberFormat="1" applyFont="1" applyFill="1" applyBorder="1" applyAlignment="1" applyProtection="1">
      <alignment vertical="center"/>
    </xf>
    <xf numFmtId="179" fontId="3" fillId="2" borderId="1" xfId="0" applyNumberFormat="1" applyFont="1" applyFill="1" applyBorder="1" applyAlignment="1" applyProtection="1">
      <alignment horizontal="center" vertical="center" wrapText="1"/>
    </xf>
    <xf numFmtId="179" fontId="10" fillId="0" borderId="0" xfId="0" applyNumberFormat="1" applyFont="1" applyFill="1" applyBorder="1" applyProtection="1">
      <alignment vertical="center"/>
    </xf>
    <xf numFmtId="179" fontId="11" fillId="0" borderId="0" xfId="0" applyNumberFormat="1" applyFont="1" applyFill="1" applyBorder="1" applyAlignment="1" applyProtection="1">
      <alignment horizontal="center" vertical="center" wrapText="1"/>
    </xf>
    <xf numFmtId="177" fontId="9" fillId="0" borderId="0" xfId="0" applyNumberFormat="1" applyFont="1" applyFill="1" applyBorder="1" applyProtection="1">
      <alignment vertical="center"/>
    </xf>
    <xf numFmtId="0" fontId="0" fillId="0" borderId="0" xfId="0" applyFill="1" applyBorder="1" applyProtection="1">
      <alignment vertical="center"/>
      <protection locked="0"/>
    </xf>
    <xf numFmtId="0" fontId="3" fillId="2" borderId="32" xfId="0" applyFont="1" applyFill="1" applyBorder="1" applyAlignment="1" applyProtection="1">
      <alignment vertical="center"/>
    </xf>
    <xf numFmtId="0" fontId="0" fillId="0" borderId="33" xfId="0" applyBorder="1" applyAlignment="1">
      <alignment vertical="center"/>
    </xf>
    <xf numFmtId="0" fontId="3" fillId="2" borderId="34" xfId="0" applyFont="1" applyFill="1" applyBorder="1" applyAlignment="1" applyProtection="1">
      <alignment vertical="center"/>
    </xf>
    <xf numFmtId="0" fontId="0" fillId="0" borderId="35" xfId="0" applyBorder="1" applyAlignment="1">
      <alignment vertical="center"/>
    </xf>
    <xf numFmtId="0" fontId="3" fillId="2" borderId="37" xfId="0" applyFont="1" applyFill="1" applyBorder="1" applyAlignment="1" applyProtection="1">
      <alignment vertical="center"/>
    </xf>
    <xf numFmtId="0" fontId="0" fillId="0" borderId="38" xfId="0" applyBorder="1" applyAlignment="1">
      <alignment vertical="center"/>
    </xf>
    <xf numFmtId="0" fontId="0" fillId="0" borderId="21" xfId="0" applyFill="1" applyBorder="1" applyAlignment="1" applyProtection="1">
      <alignment vertical="center"/>
      <protection locked="0"/>
    </xf>
    <xf numFmtId="0" fontId="0" fillId="0" borderId="22" xfId="0" applyBorder="1" applyAlignment="1">
      <alignment vertical="center"/>
    </xf>
    <xf numFmtId="0" fontId="0" fillId="0" borderId="11" xfId="0" applyFill="1" applyBorder="1" applyAlignment="1" applyProtection="1">
      <alignment vertical="center"/>
      <protection locked="0"/>
    </xf>
    <xf numFmtId="0" fontId="0" fillId="0" borderId="24" xfId="0" applyBorder="1" applyAlignment="1">
      <alignment vertical="center"/>
    </xf>
    <xf numFmtId="14" fontId="0" fillId="0" borderId="26" xfId="0" applyNumberFormat="1" applyFill="1" applyBorder="1" applyAlignment="1" applyProtection="1">
      <alignment vertical="center"/>
      <protection locked="0"/>
    </xf>
    <xf numFmtId="0" fontId="0" fillId="0" borderId="27" xfId="0" applyBorder="1" applyAlignment="1">
      <alignment vertical="center"/>
    </xf>
    <xf numFmtId="0" fontId="3" fillId="2" borderId="20" xfId="0" applyFont="1" applyFill="1" applyBorder="1" applyAlignment="1" applyProtection="1">
      <alignment vertical="center"/>
    </xf>
    <xf numFmtId="0" fontId="0" fillId="0" borderId="21" xfId="0" applyBorder="1" applyAlignment="1">
      <alignment vertical="center"/>
    </xf>
    <xf numFmtId="0" fontId="3" fillId="2" borderId="25" xfId="0" applyFont="1" applyFill="1" applyBorder="1" applyAlignment="1" applyProtection="1">
      <alignment vertical="center"/>
    </xf>
    <xf numFmtId="0" fontId="0" fillId="0" borderId="26" xfId="0" applyBorder="1" applyAlignment="1">
      <alignment vertical="center"/>
    </xf>
    <xf numFmtId="180" fontId="3" fillId="2" borderId="8" xfId="0" applyNumberFormat="1" applyFont="1" applyFill="1" applyBorder="1" applyAlignment="1" applyProtection="1">
      <alignment horizontal="center" vertical="center"/>
    </xf>
    <xf numFmtId="0" fontId="0" fillId="0" borderId="9" xfId="0" applyBorder="1" applyAlignment="1">
      <alignment horizontal="center" vertical="center"/>
    </xf>
    <xf numFmtId="0" fontId="3" fillId="2" borderId="7" xfId="0" applyFont="1" applyFill="1" applyBorder="1" applyAlignment="1" applyProtection="1">
      <alignment horizontal="center" vertical="center" wrapText="1"/>
    </xf>
    <xf numFmtId="0" fontId="0" fillId="0" borderId="45" xfId="0" applyBorder="1" applyAlignment="1">
      <alignment horizontal="center" vertical="center" wrapText="1"/>
    </xf>
    <xf numFmtId="176" fontId="3" fillId="2" borderId="39" xfId="0" applyNumberFormat="1" applyFont="1" applyFill="1" applyBorder="1" applyAlignment="1" applyProtection="1">
      <alignment horizontal="center" vertical="center" wrapText="1"/>
    </xf>
    <xf numFmtId="0" fontId="0" fillId="0" borderId="46" xfId="0" applyBorder="1" applyAlignment="1">
      <alignment horizontal="center" vertical="center" wrapText="1"/>
    </xf>
    <xf numFmtId="0" fontId="3" fillId="2" borderId="1" xfId="0" applyFont="1" applyFill="1" applyBorder="1" applyAlignment="1" applyProtection="1">
      <alignment horizontal="center" vertical="center" wrapText="1"/>
    </xf>
    <xf numFmtId="0" fontId="0" fillId="0" borderId="2" xfId="0" applyBorder="1" applyAlignment="1">
      <alignment horizontal="center" vertical="center" wrapText="1"/>
    </xf>
    <xf numFmtId="179" fontId="3" fillId="2" borderId="1" xfId="0" applyNumberFormat="1" applyFont="1" applyFill="1" applyBorder="1" applyAlignment="1" applyProtection="1">
      <alignment horizontal="center" vertical="center" wrapText="1"/>
    </xf>
    <xf numFmtId="0" fontId="0" fillId="0" borderId="8" xfId="0" applyBorder="1" applyAlignment="1">
      <alignment horizontal="center" vertical="center"/>
    </xf>
  </cellXfs>
  <cellStyles count="2">
    <cellStyle name="標準" xfId="0" builtinId="0"/>
    <cellStyle name="標準 2" xfId="1"/>
  </cellStyles>
  <dxfs count="5">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Medium7"/>
  <colors>
    <mruColors>
      <color rgb="FF000000"/>
      <color rgb="FFFFFF00"/>
      <color rgb="FF0033CC"/>
      <color rgb="FFFFFFCC"/>
      <color rgb="FFFF9900"/>
      <color rgb="FFCCFFCC"/>
      <color rgb="FFECEA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入力!$V$6</c:f>
          <c:strCache>
            <c:ptCount val="1"/>
            <c:pt idx="0">
              <c:v>横断的標準身長・体重曲線 子(0-18歳)</c:v>
            </c:pt>
          </c:strCache>
        </c:strRef>
      </c:tx>
      <c:overlay val="1"/>
    </c:title>
    <c:autoTitleDeleted val="0"/>
    <c:plotArea>
      <c:layout>
        <c:manualLayout>
          <c:layoutTarget val="inner"/>
          <c:xMode val="edge"/>
          <c:yMode val="edge"/>
          <c:x val="0.108916666666667"/>
          <c:y val="0.0722266203703704"/>
          <c:w val="0.784989379084966"/>
          <c:h val="0.848031828703704"/>
        </c:manualLayout>
      </c:layout>
      <c:scatterChart>
        <c:scatterStyle val="lineMarker"/>
        <c:varyColors val="0"/>
        <c:ser>
          <c:idx val="0"/>
          <c:order val="0"/>
          <c:tx>
            <c:strRef>
              <c:f>成長曲線_データ!$F$2</c:f>
              <c:strCache>
                <c:ptCount val="1"/>
                <c:pt idx="0">
                  <c:v>平均身長</c:v>
                </c:pt>
              </c:strCache>
            </c:strRef>
          </c:tx>
          <c:spPr>
            <a:ln w="381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成長曲線_データ!$F$4:$F$214</c:f>
              <c:numCache>
                <c:formatCode>General</c:formatCode>
                <c:ptCount val="211"/>
                <c:pt idx="0">
                  <c:v>48.4</c:v>
                </c:pt>
                <c:pt idx="1">
                  <c:v>52.6</c:v>
                </c:pt>
                <c:pt idx="2">
                  <c:v>56.7</c:v>
                </c:pt>
                <c:pt idx="3">
                  <c:v>60.0</c:v>
                </c:pt>
                <c:pt idx="4">
                  <c:v>62.6</c:v>
                </c:pt>
                <c:pt idx="5">
                  <c:v>64.6</c:v>
                </c:pt>
                <c:pt idx="6">
                  <c:v>66.2</c:v>
                </c:pt>
                <c:pt idx="7">
                  <c:v>67.5</c:v>
                </c:pt>
                <c:pt idx="8">
                  <c:v>68.9</c:v>
                </c:pt>
                <c:pt idx="9">
                  <c:v>70.0</c:v>
                </c:pt>
                <c:pt idx="10">
                  <c:v>71.2</c:v>
                </c:pt>
                <c:pt idx="11">
                  <c:v>72.3</c:v>
                </c:pt>
                <c:pt idx="12">
                  <c:v>73.4</c:v>
                </c:pt>
                <c:pt idx="13">
                  <c:v>74.5</c:v>
                </c:pt>
                <c:pt idx="14">
                  <c:v>75.5</c:v>
                </c:pt>
                <c:pt idx="15">
                  <c:v>76.5</c:v>
                </c:pt>
                <c:pt idx="16">
                  <c:v>77.5</c:v>
                </c:pt>
                <c:pt idx="17">
                  <c:v>78.4</c:v>
                </c:pt>
                <c:pt idx="18">
                  <c:v>79.4</c:v>
                </c:pt>
                <c:pt idx="19">
                  <c:v>80.3</c:v>
                </c:pt>
                <c:pt idx="20">
                  <c:v>81.2</c:v>
                </c:pt>
                <c:pt idx="21">
                  <c:v>82.0</c:v>
                </c:pt>
                <c:pt idx="22">
                  <c:v>82.8</c:v>
                </c:pt>
                <c:pt idx="23">
                  <c:v>83.5</c:v>
                </c:pt>
                <c:pt idx="24">
                  <c:v>84.3</c:v>
                </c:pt>
                <c:pt idx="25">
                  <c:v>85.0</c:v>
                </c:pt>
                <c:pt idx="26">
                  <c:v>85.7</c:v>
                </c:pt>
                <c:pt idx="27">
                  <c:v>86.4</c:v>
                </c:pt>
                <c:pt idx="28">
                  <c:v>87.1</c:v>
                </c:pt>
                <c:pt idx="29">
                  <c:v>87.7</c:v>
                </c:pt>
                <c:pt idx="30">
                  <c:v>88.4</c:v>
                </c:pt>
                <c:pt idx="31">
                  <c:v>89.0</c:v>
                </c:pt>
                <c:pt idx="32">
                  <c:v>89.6</c:v>
                </c:pt>
                <c:pt idx="33">
                  <c:v>90.3</c:v>
                </c:pt>
                <c:pt idx="34">
                  <c:v>90.9</c:v>
                </c:pt>
                <c:pt idx="35">
                  <c:v>91.6</c:v>
                </c:pt>
                <c:pt idx="36">
                  <c:v>92.2</c:v>
                </c:pt>
                <c:pt idx="37">
                  <c:v>92.8</c:v>
                </c:pt>
                <c:pt idx="38">
                  <c:v>93.5</c:v>
                </c:pt>
                <c:pt idx="39">
                  <c:v>94.1</c:v>
                </c:pt>
                <c:pt idx="40">
                  <c:v>94.7</c:v>
                </c:pt>
                <c:pt idx="41">
                  <c:v>95.3</c:v>
                </c:pt>
                <c:pt idx="42">
                  <c:v>95.9</c:v>
                </c:pt>
                <c:pt idx="43">
                  <c:v>96.5</c:v>
                </c:pt>
                <c:pt idx="44">
                  <c:v>97.1</c:v>
                </c:pt>
                <c:pt idx="45">
                  <c:v>97.7</c:v>
                </c:pt>
                <c:pt idx="46">
                  <c:v>98.3</c:v>
                </c:pt>
                <c:pt idx="47">
                  <c:v>98.9</c:v>
                </c:pt>
                <c:pt idx="48">
                  <c:v>99.5</c:v>
                </c:pt>
                <c:pt idx="49">
                  <c:v>100.0</c:v>
                </c:pt>
                <c:pt idx="50">
                  <c:v>100.6</c:v>
                </c:pt>
                <c:pt idx="51">
                  <c:v>101.2</c:v>
                </c:pt>
                <c:pt idx="52">
                  <c:v>101.7</c:v>
                </c:pt>
                <c:pt idx="53">
                  <c:v>102.3</c:v>
                </c:pt>
                <c:pt idx="54">
                  <c:v>102.8</c:v>
                </c:pt>
                <c:pt idx="55">
                  <c:v>103.4</c:v>
                </c:pt>
                <c:pt idx="56">
                  <c:v>103.9</c:v>
                </c:pt>
                <c:pt idx="57">
                  <c:v>104.5</c:v>
                </c:pt>
                <c:pt idx="58">
                  <c:v>105.0</c:v>
                </c:pt>
                <c:pt idx="59">
                  <c:v>105.6</c:v>
                </c:pt>
                <c:pt idx="60">
                  <c:v>106.2</c:v>
                </c:pt>
                <c:pt idx="61">
                  <c:v>106.7</c:v>
                </c:pt>
                <c:pt idx="62">
                  <c:v>107.3</c:v>
                </c:pt>
                <c:pt idx="63">
                  <c:v>107.8</c:v>
                </c:pt>
                <c:pt idx="64">
                  <c:v>108.4</c:v>
                </c:pt>
                <c:pt idx="65">
                  <c:v>108.9</c:v>
                </c:pt>
                <c:pt idx="66">
                  <c:v>109.5</c:v>
                </c:pt>
                <c:pt idx="67">
                  <c:v>110.0</c:v>
                </c:pt>
                <c:pt idx="68">
                  <c:v>110.6</c:v>
                </c:pt>
                <c:pt idx="69">
                  <c:v>111.1</c:v>
                </c:pt>
                <c:pt idx="70">
                  <c:v>111.6</c:v>
                </c:pt>
                <c:pt idx="71">
                  <c:v>112.2</c:v>
                </c:pt>
                <c:pt idx="72">
                  <c:v>112.7</c:v>
                </c:pt>
                <c:pt idx="73">
                  <c:v>113.3</c:v>
                </c:pt>
                <c:pt idx="74">
                  <c:v>113.8</c:v>
                </c:pt>
                <c:pt idx="75">
                  <c:v>114.1</c:v>
                </c:pt>
                <c:pt idx="76">
                  <c:v>114.6</c:v>
                </c:pt>
                <c:pt idx="77">
                  <c:v>115.2</c:v>
                </c:pt>
                <c:pt idx="78">
                  <c:v>115.8</c:v>
                </c:pt>
                <c:pt idx="79">
                  <c:v>116.3</c:v>
                </c:pt>
                <c:pt idx="80">
                  <c:v>116.8</c:v>
                </c:pt>
                <c:pt idx="81">
                  <c:v>117.3</c:v>
                </c:pt>
                <c:pt idx="82">
                  <c:v>117.8</c:v>
                </c:pt>
                <c:pt idx="83">
                  <c:v>118.3</c:v>
                </c:pt>
                <c:pt idx="84">
                  <c:v>118.8</c:v>
                </c:pt>
                <c:pt idx="85">
                  <c:v>119.2</c:v>
                </c:pt>
                <c:pt idx="86">
                  <c:v>119.7</c:v>
                </c:pt>
                <c:pt idx="87">
                  <c:v>120.2</c:v>
                </c:pt>
                <c:pt idx="88">
                  <c:v>120.7</c:v>
                </c:pt>
                <c:pt idx="89">
                  <c:v>121.2</c:v>
                </c:pt>
                <c:pt idx="90">
                  <c:v>121.7</c:v>
                </c:pt>
                <c:pt idx="91">
                  <c:v>122.2</c:v>
                </c:pt>
                <c:pt idx="92">
                  <c:v>122.7</c:v>
                </c:pt>
                <c:pt idx="93">
                  <c:v>123.2</c:v>
                </c:pt>
                <c:pt idx="94">
                  <c:v>123.6</c:v>
                </c:pt>
                <c:pt idx="95">
                  <c:v>124.1</c:v>
                </c:pt>
                <c:pt idx="96">
                  <c:v>124.6</c:v>
                </c:pt>
                <c:pt idx="97">
                  <c:v>125.1</c:v>
                </c:pt>
                <c:pt idx="98">
                  <c:v>125.6</c:v>
                </c:pt>
                <c:pt idx="99">
                  <c:v>126.1</c:v>
                </c:pt>
                <c:pt idx="100">
                  <c:v>126.5</c:v>
                </c:pt>
                <c:pt idx="101">
                  <c:v>127.0</c:v>
                </c:pt>
                <c:pt idx="102">
                  <c:v>127.5</c:v>
                </c:pt>
                <c:pt idx="103">
                  <c:v>128.0</c:v>
                </c:pt>
                <c:pt idx="104">
                  <c:v>128.5</c:v>
                </c:pt>
                <c:pt idx="105">
                  <c:v>129.0</c:v>
                </c:pt>
                <c:pt idx="106">
                  <c:v>129.5</c:v>
                </c:pt>
                <c:pt idx="107">
                  <c:v>130.0</c:v>
                </c:pt>
                <c:pt idx="108">
                  <c:v>130.5</c:v>
                </c:pt>
                <c:pt idx="109">
                  <c:v>131.0</c:v>
                </c:pt>
                <c:pt idx="110">
                  <c:v>131.5</c:v>
                </c:pt>
                <c:pt idx="111">
                  <c:v>132.0</c:v>
                </c:pt>
                <c:pt idx="112">
                  <c:v>132.5</c:v>
                </c:pt>
                <c:pt idx="113">
                  <c:v>133.0</c:v>
                </c:pt>
                <c:pt idx="114">
                  <c:v>133.5</c:v>
                </c:pt>
                <c:pt idx="115">
                  <c:v>134.1</c:v>
                </c:pt>
                <c:pt idx="116">
                  <c:v>134.6</c:v>
                </c:pt>
                <c:pt idx="117">
                  <c:v>135.2</c:v>
                </c:pt>
                <c:pt idx="118">
                  <c:v>135.8</c:v>
                </c:pt>
                <c:pt idx="119">
                  <c:v>136.3</c:v>
                </c:pt>
                <c:pt idx="120">
                  <c:v>136.9</c:v>
                </c:pt>
                <c:pt idx="121">
                  <c:v>137.5</c:v>
                </c:pt>
                <c:pt idx="122">
                  <c:v>138.0</c:v>
                </c:pt>
                <c:pt idx="123">
                  <c:v>138.6</c:v>
                </c:pt>
                <c:pt idx="124">
                  <c:v>139.2</c:v>
                </c:pt>
                <c:pt idx="125">
                  <c:v>139.7</c:v>
                </c:pt>
                <c:pt idx="126">
                  <c:v>140.3</c:v>
                </c:pt>
                <c:pt idx="127">
                  <c:v>140.9</c:v>
                </c:pt>
                <c:pt idx="128">
                  <c:v>141.4</c:v>
                </c:pt>
                <c:pt idx="129">
                  <c:v>142.0</c:v>
                </c:pt>
                <c:pt idx="130">
                  <c:v>142.6</c:v>
                </c:pt>
                <c:pt idx="131">
                  <c:v>143.1</c:v>
                </c:pt>
                <c:pt idx="132">
                  <c:v>143.7</c:v>
                </c:pt>
                <c:pt idx="133">
                  <c:v>144.3</c:v>
                </c:pt>
                <c:pt idx="134">
                  <c:v>144.8</c:v>
                </c:pt>
                <c:pt idx="135">
                  <c:v>145.4</c:v>
                </c:pt>
                <c:pt idx="136">
                  <c:v>146.0</c:v>
                </c:pt>
                <c:pt idx="137">
                  <c:v>146.5</c:v>
                </c:pt>
                <c:pt idx="138">
                  <c:v>147.1</c:v>
                </c:pt>
                <c:pt idx="139">
                  <c:v>147.5</c:v>
                </c:pt>
                <c:pt idx="140">
                  <c:v>147.9</c:v>
                </c:pt>
                <c:pt idx="141">
                  <c:v>148.4</c:v>
                </c:pt>
                <c:pt idx="142">
                  <c:v>148.8</c:v>
                </c:pt>
                <c:pt idx="143">
                  <c:v>149.2</c:v>
                </c:pt>
                <c:pt idx="144">
                  <c:v>149.6</c:v>
                </c:pt>
                <c:pt idx="145">
                  <c:v>150.0</c:v>
                </c:pt>
                <c:pt idx="146">
                  <c:v>150.4</c:v>
                </c:pt>
                <c:pt idx="147">
                  <c:v>150.9</c:v>
                </c:pt>
                <c:pt idx="148">
                  <c:v>151.3</c:v>
                </c:pt>
                <c:pt idx="149">
                  <c:v>151.7</c:v>
                </c:pt>
                <c:pt idx="150">
                  <c:v>152.1</c:v>
                </c:pt>
                <c:pt idx="151">
                  <c:v>152.4</c:v>
                </c:pt>
                <c:pt idx="152">
                  <c:v>152.6</c:v>
                </c:pt>
                <c:pt idx="153">
                  <c:v>152.9</c:v>
                </c:pt>
                <c:pt idx="154">
                  <c:v>153.1</c:v>
                </c:pt>
                <c:pt idx="155">
                  <c:v>153.4</c:v>
                </c:pt>
                <c:pt idx="156">
                  <c:v>153.6</c:v>
                </c:pt>
                <c:pt idx="157">
                  <c:v>153.9</c:v>
                </c:pt>
                <c:pt idx="158">
                  <c:v>154.1</c:v>
                </c:pt>
                <c:pt idx="159">
                  <c:v>154.4</c:v>
                </c:pt>
                <c:pt idx="160">
                  <c:v>154.6</c:v>
                </c:pt>
                <c:pt idx="161">
                  <c:v>154.9</c:v>
                </c:pt>
                <c:pt idx="162">
                  <c:v>155.1</c:v>
                </c:pt>
                <c:pt idx="163">
                  <c:v>155.2</c:v>
                </c:pt>
                <c:pt idx="164">
                  <c:v>155.4</c:v>
                </c:pt>
                <c:pt idx="165">
                  <c:v>155.5</c:v>
                </c:pt>
                <c:pt idx="166">
                  <c:v>155.7</c:v>
                </c:pt>
                <c:pt idx="167">
                  <c:v>155.8</c:v>
                </c:pt>
                <c:pt idx="168">
                  <c:v>156.0</c:v>
                </c:pt>
                <c:pt idx="169">
                  <c:v>156.1</c:v>
                </c:pt>
                <c:pt idx="170">
                  <c:v>156.2</c:v>
                </c:pt>
                <c:pt idx="171">
                  <c:v>156.4</c:v>
                </c:pt>
                <c:pt idx="172">
                  <c:v>156.5</c:v>
                </c:pt>
                <c:pt idx="173">
                  <c:v>156.7</c:v>
                </c:pt>
                <c:pt idx="174">
                  <c:v>156.8</c:v>
                </c:pt>
                <c:pt idx="175">
                  <c:v>156.8</c:v>
                </c:pt>
                <c:pt idx="176">
                  <c:v>156.9</c:v>
                </c:pt>
                <c:pt idx="177">
                  <c:v>156.9</c:v>
                </c:pt>
                <c:pt idx="178">
                  <c:v>157.0</c:v>
                </c:pt>
                <c:pt idx="179">
                  <c:v>157.0</c:v>
                </c:pt>
                <c:pt idx="180">
                  <c:v>157.1</c:v>
                </c:pt>
                <c:pt idx="181">
                  <c:v>157.1</c:v>
                </c:pt>
                <c:pt idx="182">
                  <c:v>157.1</c:v>
                </c:pt>
                <c:pt idx="183">
                  <c:v>157.2</c:v>
                </c:pt>
                <c:pt idx="184">
                  <c:v>157.2</c:v>
                </c:pt>
                <c:pt idx="185">
                  <c:v>157.3</c:v>
                </c:pt>
                <c:pt idx="186">
                  <c:v>157.3</c:v>
                </c:pt>
                <c:pt idx="187">
                  <c:v>157.3</c:v>
                </c:pt>
                <c:pt idx="188">
                  <c:v>157.4</c:v>
                </c:pt>
                <c:pt idx="189">
                  <c:v>157.4</c:v>
                </c:pt>
                <c:pt idx="190">
                  <c:v>157.4</c:v>
                </c:pt>
                <c:pt idx="191">
                  <c:v>157.5</c:v>
                </c:pt>
                <c:pt idx="192">
                  <c:v>157.5</c:v>
                </c:pt>
                <c:pt idx="193">
                  <c:v>157.5</c:v>
                </c:pt>
                <c:pt idx="194">
                  <c:v>157.6</c:v>
                </c:pt>
                <c:pt idx="195">
                  <c:v>157.6</c:v>
                </c:pt>
                <c:pt idx="196">
                  <c:v>157.6</c:v>
                </c:pt>
                <c:pt idx="197">
                  <c:v>157.7</c:v>
                </c:pt>
                <c:pt idx="198">
                  <c:v>157.7</c:v>
                </c:pt>
                <c:pt idx="199">
                  <c:v>157.7</c:v>
                </c:pt>
                <c:pt idx="200">
                  <c:v>157.8</c:v>
                </c:pt>
                <c:pt idx="201">
                  <c:v>157.8</c:v>
                </c:pt>
                <c:pt idx="202">
                  <c:v>157.8</c:v>
                </c:pt>
                <c:pt idx="203">
                  <c:v>157.9</c:v>
                </c:pt>
                <c:pt idx="204">
                  <c:v>157.9</c:v>
                </c:pt>
                <c:pt idx="205">
                  <c:v>157.9</c:v>
                </c:pt>
                <c:pt idx="206">
                  <c:v>158.0</c:v>
                </c:pt>
                <c:pt idx="207">
                  <c:v>158.0</c:v>
                </c:pt>
                <c:pt idx="208">
                  <c:v>158.0</c:v>
                </c:pt>
                <c:pt idx="209">
                  <c:v>158.1</c:v>
                </c:pt>
                <c:pt idx="210">
                  <c:v>158.1</c:v>
                </c:pt>
              </c:numCache>
            </c:numRef>
          </c:yVal>
          <c:smooth val="0"/>
        </c:ser>
        <c:ser>
          <c:idx val="1"/>
          <c:order val="1"/>
          <c:tx>
            <c:strRef>
              <c:f>成長曲線_データ!$H$2</c:f>
              <c:strCache>
                <c:ptCount val="1"/>
                <c:pt idx="0">
                  <c:v>+2SD</c:v>
                </c:pt>
              </c:strCache>
            </c:strRef>
          </c:tx>
          <c:spPr>
            <a:ln w="127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成長曲線_データ!$H$4:$H$214</c:f>
              <c:numCache>
                <c:formatCode>General</c:formatCode>
                <c:ptCount val="211"/>
                <c:pt idx="0">
                  <c:v>52.6</c:v>
                </c:pt>
                <c:pt idx="1">
                  <c:v>56.8</c:v>
                </c:pt>
                <c:pt idx="2">
                  <c:v>61.1</c:v>
                </c:pt>
                <c:pt idx="3">
                  <c:v>64.4</c:v>
                </c:pt>
                <c:pt idx="4">
                  <c:v>67.0</c:v>
                </c:pt>
                <c:pt idx="5">
                  <c:v>69.19999999999998</c:v>
                </c:pt>
                <c:pt idx="6">
                  <c:v>70.8</c:v>
                </c:pt>
                <c:pt idx="7">
                  <c:v>72.1</c:v>
                </c:pt>
                <c:pt idx="8">
                  <c:v>73.7</c:v>
                </c:pt>
                <c:pt idx="9">
                  <c:v>74.8</c:v>
                </c:pt>
                <c:pt idx="10">
                  <c:v>76.0</c:v>
                </c:pt>
                <c:pt idx="11">
                  <c:v>77.3</c:v>
                </c:pt>
                <c:pt idx="12">
                  <c:v>78.4</c:v>
                </c:pt>
                <c:pt idx="13">
                  <c:v>79.5</c:v>
                </c:pt>
                <c:pt idx="14">
                  <c:v>80.7</c:v>
                </c:pt>
                <c:pt idx="15">
                  <c:v>81.7</c:v>
                </c:pt>
                <c:pt idx="16">
                  <c:v>82.7</c:v>
                </c:pt>
                <c:pt idx="17">
                  <c:v>83.80000000000001</c:v>
                </c:pt>
                <c:pt idx="18">
                  <c:v>84.80000000000001</c:v>
                </c:pt>
                <c:pt idx="19">
                  <c:v>85.9</c:v>
                </c:pt>
                <c:pt idx="20">
                  <c:v>86.8</c:v>
                </c:pt>
                <c:pt idx="21">
                  <c:v>87.6</c:v>
                </c:pt>
                <c:pt idx="22">
                  <c:v>88.6</c:v>
                </c:pt>
                <c:pt idx="23">
                  <c:v>89.3</c:v>
                </c:pt>
                <c:pt idx="24">
                  <c:v>90.1</c:v>
                </c:pt>
                <c:pt idx="25">
                  <c:v>91.0</c:v>
                </c:pt>
                <c:pt idx="26">
                  <c:v>91.7</c:v>
                </c:pt>
                <c:pt idx="27">
                  <c:v>92.4</c:v>
                </c:pt>
                <c:pt idx="28">
                  <c:v>93.3</c:v>
                </c:pt>
                <c:pt idx="29">
                  <c:v>93.9</c:v>
                </c:pt>
                <c:pt idx="30">
                  <c:v>94.60000000000001</c:v>
                </c:pt>
                <c:pt idx="31">
                  <c:v>95.4</c:v>
                </c:pt>
                <c:pt idx="32">
                  <c:v>96.0</c:v>
                </c:pt>
                <c:pt idx="33">
                  <c:v>96.9</c:v>
                </c:pt>
                <c:pt idx="34">
                  <c:v>97.5</c:v>
                </c:pt>
                <c:pt idx="35">
                  <c:v>98.19999999999998</c:v>
                </c:pt>
                <c:pt idx="36">
                  <c:v>99.0</c:v>
                </c:pt>
                <c:pt idx="37">
                  <c:v>99.6</c:v>
                </c:pt>
                <c:pt idx="38">
                  <c:v>100.3</c:v>
                </c:pt>
                <c:pt idx="39">
                  <c:v>101.1</c:v>
                </c:pt>
                <c:pt idx="40">
                  <c:v>101.7</c:v>
                </c:pt>
                <c:pt idx="41">
                  <c:v>102.3</c:v>
                </c:pt>
                <c:pt idx="42">
                  <c:v>103.1</c:v>
                </c:pt>
                <c:pt idx="43">
                  <c:v>103.7</c:v>
                </c:pt>
                <c:pt idx="44">
                  <c:v>104.3</c:v>
                </c:pt>
                <c:pt idx="45">
                  <c:v>105.1</c:v>
                </c:pt>
                <c:pt idx="46">
                  <c:v>105.7</c:v>
                </c:pt>
                <c:pt idx="47">
                  <c:v>106.5</c:v>
                </c:pt>
                <c:pt idx="48">
                  <c:v>107.1</c:v>
                </c:pt>
                <c:pt idx="49">
                  <c:v>107.6</c:v>
                </c:pt>
                <c:pt idx="50">
                  <c:v>108.4</c:v>
                </c:pt>
                <c:pt idx="51">
                  <c:v>109.0</c:v>
                </c:pt>
                <c:pt idx="52">
                  <c:v>109.5</c:v>
                </c:pt>
                <c:pt idx="53">
                  <c:v>110.3</c:v>
                </c:pt>
                <c:pt idx="54">
                  <c:v>110.8</c:v>
                </c:pt>
                <c:pt idx="55">
                  <c:v>111.4</c:v>
                </c:pt>
                <c:pt idx="56">
                  <c:v>112.1</c:v>
                </c:pt>
                <c:pt idx="57">
                  <c:v>112.7</c:v>
                </c:pt>
                <c:pt idx="58">
                  <c:v>113.2</c:v>
                </c:pt>
                <c:pt idx="59">
                  <c:v>114.0</c:v>
                </c:pt>
                <c:pt idx="60">
                  <c:v>114.6</c:v>
                </c:pt>
                <c:pt idx="61">
                  <c:v>115.3</c:v>
                </c:pt>
                <c:pt idx="62">
                  <c:v>115.9</c:v>
                </c:pt>
                <c:pt idx="63">
                  <c:v>116.4</c:v>
                </c:pt>
                <c:pt idx="64">
                  <c:v>117.2</c:v>
                </c:pt>
                <c:pt idx="65">
                  <c:v>117.7</c:v>
                </c:pt>
                <c:pt idx="66">
                  <c:v>118.3</c:v>
                </c:pt>
                <c:pt idx="67">
                  <c:v>119.0</c:v>
                </c:pt>
                <c:pt idx="68">
                  <c:v>119.6</c:v>
                </c:pt>
                <c:pt idx="69">
                  <c:v>120.1</c:v>
                </c:pt>
                <c:pt idx="70">
                  <c:v>120.8</c:v>
                </c:pt>
                <c:pt idx="71">
                  <c:v>121.4</c:v>
                </c:pt>
                <c:pt idx="72">
                  <c:v>121.9</c:v>
                </c:pt>
                <c:pt idx="73">
                  <c:v>122.7</c:v>
                </c:pt>
                <c:pt idx="74">
                  <c:v>123.2</c:v>
                </c:pt>
                <c:pt idx="75">
                  <c:v>123.3</c:v>
                </c:pt>
                <c:pt idx="76">
                  <c:v>124.0</c:v>
                </c:pt>
                <c:pt idx="77">
                  <c:v>124.8</c:v>
                </c:pt>
                <c:pt idx="78">
                  <c:v>125.6</c:v>
                </c:pt>
                <c:pt idx="79">
                  <c:v>126.1</c:v>
                </c:pt>
                <c:pt idx="80">
                  <c:v>126.6</c:v>
                </c:pt>
                <c:pt idx="81">
                  <c:v>127.1</c:v>
                </c:pt>
                <c:pt idx="82">
                  <c:v>127.8</c:v>
                </c:pt>
                <c:pt idx="83">
                  <c:v>128.3</c:v>
                </c:pt>
                <c:pt idx="84">
                  <c:v>128.8</c:v>
                </c:pt>
                <c:pt idx="85">
                  <c:v>129.2</c:v>
                </c:pt>
                <c:pt idx="86">
                  <c:v>129.7</c:v>
                </c:pt>
                <c:pt idx="87">
                  <c:v>130.4</c:v>
                </c:pt>
                <c:pt idx="88">
                  <c:v>130.9</c:v>
                </c:pt>
                <c:pt idx="89">
                  <c:v>131.4</c:v>
                </c:pt>
                <c:pt idx="90">
                  <c:v>131.9</c:v>
                </c:pt>
                <c:pt idx="91">
                  <c:v>132.6</c:v>
                </c:pt>
                <c:pt idx="92">
                  <c:v>133.1</c:v>
                </c:pt>
                <c:pt idx="93">
                  <c:v>133.6</c:v>
                </c:pt>
                <c:pt idx="94">
                  <c:v>134.2</c:v>
                </c:pt>
                <c:pt idx="95">
                  <c:v>134.7</c:v>
                </c:pt>
                <c:pt idx="96">
                  <c:v>135.4</c:v>
                </c:pt>
                <c:pt idx="97">
                  <c:v>135.9</c:v>
                </c:pt>
                <c:pt idx="98">
                  <c:v>136.4</c:v>
                </c:pt>
                <c:pt idx="99">
                  <c:v>137.1</c:v>
                </c:pt>
                <c:pt idx="100">
                  <c:v>137.5</c:v>
                </c:pt>
                <c:pt idx="101">
                  <c:v>138.0</c:v>
                </c:pt>
                <c:pt idx="102">
                  <c:v>138.7</c:v>
                </c:pt>
                <c:pt idx="103">
                  <c:v>139.2</c:v>
                </c:pt>
                <c:pt idx="104">
                  <c:v>139.9</c:v>
                </c:pt>
                <c:pt idx="105">
                  <c:v>140.4</c:v>
                </c:pt>
                <c:pt idx="106">
                  <c:v>141.1</c:v>
                </c:pt>
                <c:pt idx="107">
                  <c:v>141.6</c:v>
                </c:pt>
                <c:pt idx="108">
                  <c:v>142.3</c:v>
                </c:pt>
                <c:pt idx="109">
                  <c:v>142.8</c:v>
                </c:pt>
                <c:pt idx="110">
                  <c:v>143.5</c:v>
                </c:pt>
                <c:pt idx="111">
                  <c:v>144.0</c:v>
                </c:pt>
                <c:pt idx="112">
                  <c:v>144.7</c:v>
                </c:pt>
                <c:pt idx="113">
                  <c:v>145.2</c:v>
                </c:pt>
                <c:pt idx="114">
                  <c:v>145.9</c:v>
                </c:pt>
                <c:pt idx="115">
                  <c:v>146.5</c:v>
                </c:pt>
                <c:pt idx="116">
                  <c:v>147.2</c:v>
                </c:pt>
                <c:pt idx="117">
                  <c:v>147.8</c:v>
                </c:pt>
                <c:pt idx="118">
                  <c:v>148.6</c:v>
                </c:pt>
                <c:pt idx="119">
                  <c:v>149.1</c:v>
                </c:pt>
                <c:pt idx="120">
                  <c:v>149.9</c:v>
                </c:pt>
                <c:pt idx="121">
                  <c:v>150.5</c:v>
                </c:pt>
                <c:pt idx="122">
                  <c:v>151.2</c:v>
                </c:pt>
                <c:pt idx="123">
                  <c:v>151.8</c:v>
                </c:pt>
                <c:pt idx="124">
                  <c:v>152.6</c:v>
                </c:pt>
                <c:pt idx="125">
                  <c:v>153.1</c:v>
                </c:pt>
                <c:pt idx="126">
                  <c:v>153.9</c:v>
                </c:pt>
                <c:pt idx="127">
                  <c:v>154.5</c:v>
                </c:pt>
                <c:pt idx="128">
                  <c:v>155.0</c:v>
                </c:pt>
                <c:pt idx="129">
                  <c:v>155.6</c:v>
                </c:pt>
                <c:pt idx="130">
                  <c:v>156.2</c:v>
                </c:pt>
                <c:pt idx="131">
                  <c:v>156.5</c:v>
                </c:pt>
                <c:pt idx="132">
                  <c:v>157.1</c:v>
                </c:pt>
                <c:pt idx="133">
                  <c:v>157.7</c:v>
                </c:pt>
                <c:pt idx="134">
                  <c:v>158.2</c:v>
                </c:pt>
                <c:pt idx="135">
                  <c:v>158.8</c:v>
                </c:pt>
                <c:pt idx="136">
                  <c:v>159.4</c:v>
                </c:pt>
                <c:pt idx="137">
                  <c:v>159.9</c:v>
                </c:pt>
                <c:pt idx="138">
                  <c:v>160.5</c:v>
                </c:pt>
                <c:pt idx="139">
                  <c:v>160.7</c:v>
                </c:pt>
                <c:pt idx="140">
                  <c:v>160.9</c:v>
                </c:pt>
                <c:pt idx="141">
                  <c:v>161.4</c:v>
                </c:pt>
                <c:pt idx="142">
                  <c:v>161.6</c:v>
                </c:pt>
                <c:pt idx="143">
                  <c:v>162.0</c:v>
                </c:pt>
                <c:pt idx="144">
                  <c:v>162.2</c:v>
                </c:pt>
                <c:pt idx="145">
                  <c:v>162.4</c:v>
                </c:pt>
                <c:pt idx="146">
                  <c:v>162.8</c:v>
                </c:pt>
                <c:pt idx="147">
                  <c:v>163.1</c:v>
                </c:pt>
                <c:pt idx="148">
                  <c:v>163.5</c:v>
                </c:pt>
                <c:pt idx="149">
                  <c:v>163.7</c:v>
                </c:pt>
                <c:pt idx="150">
                  <c:v>163.9</c:v>
                </c:pt>
                <c:pt idx="151">
                  <c:v>164.2</c:v>
                </c:pt>
                <c:pt idx="152">
                  <c:v>164.2</c:v>
                </c:pt>
                <c:pt idx="153">
                  <c:v>164.5</c:v>
                </c:pt>
                <c:pt idx="154">
                  <c:v>164.7</c:v>
                </c:pt>
                <c:pt idx="155">
                  <c:v>164.8</c:v>
                </c:pt>
                <c:pt idx="156">
                  <c:v>165.0</c:v>
                </c:pt>
                <c:pt idx="157">
                  <c:v>165.1</c:v>
                </c:pt>
                <c:pt idx="158">
                  <c:v>165.3</c:v>
                </c:pt>
                <c:pt idx="159">
                  <c:v>165.4</c:v>
                </c:pt>
                <c:pt idx="160">
                  <c:v>165.6</c:v>
                </c:pt>
                <c:pt idx="161">
                  <c:v>165.7</c:v>
                </c:pt>
                <c:pt idx="162">
                  <c:v>165.9</c:v>
                </c:pt>
                <c:pt idx="163">
                  <c:v>166.0</c:v>
                </c:pt>
                <c:pt idx="164">
                  <c:v>166.2</c:v>
                </c:pt>
                <c:pt idx="165">
                  <c:v>166.3</c:v>
                </c:pt>
                <c:pt idx="166">
                  <c:v>166.5</c:v>
                </c:pt>
                <c:pt idx="167">
                  <c:v>166.6</c:v>
                </c:pt>
                <c:pt idx="168">
                  <c:v>166.8</c:v>
                </c:pt>
                <c:pt idx="169">
                  <c:v>166.7</c:v>
                </c:pt>
                <c:pt idx="170">
                  <c:v>166.8</c:v>
                </c:pt>
                <c:pt idx="171">
                  <c:v>167.0</c:v>
                </c:pt>
                <c:pt idx="172">
                  <c:v>167.1</c:v>
                </c:pt>
                <c:pt idx="173">
                  <c:v>167.3</c:v>
                </c:pt>
                <c:pt idx="174">
                  <c:v>167.4</c:v>
                </c:pt>
                <c:pt idx="175">
                  <c:v>167.4</c:v>
                </c:pt>
                <c:pt idx="176">
                  <c:v>167.5</c:v>
                </c:pt>
                <c:pt idx="177">
                  <c:v>167.5</c:v>
                </c:pt>
                <c:pt idx="178">
                  <c:v>167.6</c:v>
                </c:pt>
                <c:pt idx="179">
                  <c:v>167.6</c:v>
                </c:pt>
                <c:pt idx="180">
                  <c:v>167.7</c:v>
                </c:pt>
                <c:pt idx="181">
                  <c:v>167.7</c:v>
                </c:pt>
                <c:pt idx="182">
                  <c:v>167.5</c:v>
                </c:pt>
                <c:pt idx="183">
                  <c:v>167.6</c:v>
                </c:pt>
                <c:pt idx="184">
                  <c:v>167.6</c:v>
                </c:pt>
                <c:pt idx="185">
                  <c:v>167.7</c:v>
                </c:pt>
                <c:pt idx="186">
                  <c:v>167.7</c:v>
                </c:pt>
                <c:pt idx="187">
                  <c:v>167.7</c:v>
                </c:pt>
                <c:pt idx="188">
                  <c:v>167.8</c:v>
                </c:pt>
                <c:pt idx="189">
                  <c:v>167.8</c:v>
                </c:pt>
                <c:pt idx="190">
                  <c:v>167.8</c:v>
                </c:pt>
                <c:pt idx="191">
                  <c:v>167.9</c:v>
                </c:pt>
                <c:pt idx="192">
                  <c:v>167.9</c:v>
                </c:pt>
                <c:pt idx="193">
                  <c:v>167.9</c:v>
                </c:pt>
                <c:pt idx="194">
                  <c:v>168.0</c:v>
                </c:pt>
                <c:pt idx="195">
                  <c:v>168.0</c:v>
                </c:pt>
                <c:pt idx="196">
                  <c:v>168.0</c:v>
                </c:pt>
                <c:pt idx="197">
                  <c:v>168.1</c:v>
                </c:pt>
                <c:pt idx="198">
                  <c:v>168.1</c:v>
                </c:pt>
                <c:pt idx="199">
                  <c:v>168.1</c:v>
                </c:pt>
                <c:pt idx="200">
                  <c:v>168.2</c:v>
                </c:pt>
                <c:pt idx="201">
                  <c:v>168.2</c:v>
                </c:pt>
                <c:pt idx="202">
                  <c:v>168.2</c:v>
                </c:pt>
                <c:pt idx="203">
                  <c:v>168.3</c:v>
                </c:pt>
                <c:pt idx="204">
                  <c:v>168.3</c:v>
                </c:pt>
                <c:pt idx="205">
                  <c:v>168.3</c:v>
                </c:pt>
                <c:pt idx="206">
                  <c:v>168.4</c:v>
                </c:pt>
                <c:pt idx="207">
                  <c:v>168.4</c:v>
                </c:pt>
                <c:pt idx="208">
                  <c:v>168.4</c:v>
                </c:pt>
                <c:pt idx="209">
                  <c:v>168.5</c:v>
                </c:pt>
                <c:pt idx="210">
                  <c:v>168.7</c:v>
                </c:pt>
              </c:numCache>
            </c:numRef>
          </c:yVal>
          <c:smooth val="0"/>
        </c:ser>
        <c:ser>
          <c:idx val="2"/>
          <c:order val="2"/>
          <c:tx>
            <c:strRef>
              <c:f>成長曲線_データ!$I$2</c:f>
              <c:strCache>
                <c:ptCount val="1"/>
                <c:pt idx="0">
                  <c:v>+1SD</c:v>
                </c:pt>
              </c:strCache>
            </c:strRef>
          </c:tx>
          <c:spPr>
            <a:ln w="12700">
              <a:solidFill>
                <a:sysClr val="windowText" lastClr="000000"/>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成長曲線_データ!$I$4:$I$214</c:f>
              <c:numCache>
                <c:formatCode>General</c:formatCode>
                <c:ptCount val="211"/>
                <c:pt idx="0">
                  <c:v>50.5</c:v>
                </c:pt>
                <c:pt idx="1">
                  <c:v>54.7</c:v>
                </c:pt>
                <c:pt idx="2">
                  <c:v>58.90000000000001</c:v>
                </c:pt>
                <c:pt idx="3">
                  <c:v>62.2</c:v>
                </c:pt>
                <c:pt idx="4">
                  <c:v>64.8</c:v>
                </c:pt>
                <c:pt idx="5">
                  <c:v>66.9</c:v>
                </c:pt>
                <c:pt idx="6">
                  <c:v>68.5</c:v>
                </c:pt>
                <c:pt idx="7">
                  <c:v>69.8</c:v>
                </c:pt>
                <c:pt idx="8">
                  <c:v>71.30000000000001</c:v>
                </c:pt>
                <c:pt idx="9">
                  <c:v>72.4</c:v>
                </c:pt>
                <c:pt idx="10">
                  <c:v>73.60000000000001</c:v>
                </c:pt>
                <c:pt idx="11">
                  <c:v>74.8</c:v>
                </c:pt>
                <c:pt idx="12">
                  <c:v>75.9</c:v>
                </c:pt>
                <c:pt idx="13">
                  <c:v>77.0</c:v>
                </c:pt>
                <c:pt idx="14">
                  <c:v>78.1</c:v>
                </c:pt>
                <c:pt idx="15">
                  <c:v>79.1</c:v>
                </c:pt>
                <c:pt idx="16">
                  <c:v>80.1</c:v>
                </c:pt>
                <c:pt idx="17">
                  <c:v>81.10000000000001</c:v>
                </c:pt>
                <c:pt idx="18">
                  <c:v>82.10000000000001</c:v>
                </c:pt>
                <c:pt idx="19">
                  <c:v>83.1</c:v>
                </c:pt>
                <c:pt idx="20">
                  <c:v>84.0</c:v>
                </c:pt>
                <c:pt idx="21">
                  <c:v>84.8</c:v>
                </c:pt>
                <c:pt idx="22">
                  <c:v>85.7</c:v>
                </c:pt>
                <c:pt idx="23">
                  <c:v>86.4</c:v>
                </c:pt>
                <c:pt idx="24">
                  <c:v>87.2</c:v>
                </c:pt>
                <c:pt idx="25">
                  <c:v>88.0</c:v>
                </c:pt>
                <c:pt idx="26">
                  <c:v>88.7</c:v>
                </c:pt>
                <c:pt idx="27">
                  <c:v>89.4</c:v>
                </c:pt>
                <c:pt idx="28">
                  <c:v>90.19999999999998</c:v>
                </c:pt>
                <c:pt idx="29">
                  <c:v>90.8</c:v>
                </c:pt>
                <c:pt idx="30">
                  <c:v>91.5</c:v>
                </c:pt>
                <c:pt idx="31">
                  <c:v>92.2</c:v>
                </c:pt>
                <c:pt idx="32">
                  <c:v>92.8</c:v>
                </c:pt>
                <c:pt idx="33">
                  <c:v>93.6</c:v>
                </c:pt>
                <c:pt idx="34">
                  <c:v>94.2</c:v>
                </c:pt>
                <c:pt idx="35">
                  <c:v>94.9</c:v>
                </c:pt>
                <c:pt idx="36">
                  <c:v>95.60000000000001</c:v>
                </c:pt>
                <c:pt idx="37">
                  <c:v>96.2</c:v>
                </c:pt>
                <c:pt idx="38">
                  <c:v>96.9</c:v>
                </c:pt>
                <c:pt idx="39">
                  <c:v>97.6</c:v>
                </c:pt>
                <c:pt idx="40">
                  <c:v>98.2</c:v>
                </c:pt>
                <c:pt idx="41">
                  <c:v>98.8</c:v>
                </c:pt>
                <c:pt idx="42">
                  <c:v>99.5</c:v>
                </c:pt>
                <c:pt idx="43">
                  <c:v>100.1</c:v>
                </c:pt>
                <c:pt idx="44">
                  <c:v>100.7</c:v>
                </c:pt>
                <c:pt idx="45">
                  <c:v>101.4</c:v>
                </c:pt>
                <c:pt idx="46">
                  <c:v>102.0</c:v>
                </c:pt>
                <c:pt idx="47">
                  <c:v>102.7</c:v>
                </c:pt>
                <c:pt idx="48">
                  <c:v>103.3</c:v>
                </c:pt>
                <c:pt idx="49">
                  <c:v>103.8</c:v>
                </c:pt>
                <c:pt idx="50">
                  <c:v>104.5</c:v>
                </c:pt>
                <c:pt idx="51">
                  <c:v>105.1</c:v>
                </c:pt>
                <c:pt idx="52">
                  <c:v>105.6</c:v>
                </c:pt>
                <c:pt idx="53">
                  <c:v>106.3</c:v>
                </c:pt>
                <c:pt idx="54">
                  <c:v>106.8</c:v>
                </c:pt>
                <c:pt idx="55">
                  <c:v>107.4</c:v>
                </c:pt>
                <c:pt idx="56">
                  <c:v>108.0</c:v>
                </c:pt>
                <c:pt idx="57">
                  <c:v>108.6</c:v>
                </c:pt>
                <c:pt idx="58">
                  <c:v>109.1</c:v>
                </c:pt>
                <c:pt idx="59">
                  <c:v>109.8</c:v>
                </c:pt>
                <c:pt idx="60">
                  <c:v>110.4</c:v>
                </c:pt>
                <c:pt idx="61">
                  <c:v>111.0</c:v>
                </c:pt>
                <c:pt idx="62">
                  <c:v>111.6</c:v>
                </c:pt>
                <c:pt idx="63">
                  <c:v>112.1</c:v>
                </c:pt>
                <c:pt idx="64">
                  <c:v>112.8</c:v>
                </c:pt>
                <c:pt idx="65">
                  <c:v>113.3</c:v>
                </c:pt>
                <c:pt idx="66">
                  <c:v>113.9</c:v>
                </c:pt>
                <c:pt idx="67">
                  <c:v>114.5</c:v>
                </c:pt>
                <c:pt idx="68">
                  <c:v>115.1</c:v>
                </c:pt>
                <c:pt idx="69">
                  <c:v>115.6</c:v>
                </c:pt>
                <c:pt idx="70">
                  <c:v>116.2</c:v>
                </c:pt>
                <c:pt idx="71">
                  <c:v>116.8</c:v>
                </c:pt>
                <c:pt idx="72">
                  <c:v>117.3</c:v>
                </c:pt>
                <c:pt idx="73">
                  <c:v>118.0</c:v>
                </c:pt>
                <c:pt idx="74">
                  <c:v>118.5</c:v>
                </c:pt>
                <c:pt idx="75">
                  <c:v>118.7</c:v>
                </c:pt>
                <c:pt idx="76">
                  <c:v>119.3</c:v>
                </c:pt>
                <c:pt idx="77">
                  <c:v>120.0</c:v>
                </c:pt>
                <c:pt idx="78">
                  <c:v>120.7</c:v>
                </c:pt>
                <c:pt idx="79">
                  <c:v>121.2</c:v>
                </c:pt>
                <c:pt idx="80">
                  <c:v>121.7</c:v>
                </c:pt>
                <c:pt idx="81">
                  <c:v>122.2</c:v>
                </c:pt>
                <c:pt idx="82">
                  <c:v>122.8</c:v>
                </c:pt>
                <c:pt idx="83">
                  <c:v>123.3</c:v>
                </c:pt>
                <c:pt idx="84">
                  <c:v>123.8</c:v>
                </c:pt>
                <c:pt idx="85">
                  <c:v>124.2</c:v>
                </c:pt>
                <c:pt idx="86">
                  <c:v>124.7</c:v>
                </c:pt>
                <c:pt idx="87">
                  <c:v>125.3</c:v>
                </c:pt>
                <c:pt idx="88">
                  <c:v>125.8</c:v>
                </c:pt>
                <c:pt idx="89">
                  <c:v>126.3</c:v>
                </c:pt>
                <c:pt idx="90">
                  <c:v>126.8</c:v>
                </c:pt>
                <c:pt idx="91">
                  <c:v>127.4</c:v>
                </c:pt>
                <c:pt idx="92">
                  <c:v>127.9</c:v>
                </c:pt>
                <c:pt idx="93">
                  <c:v>128.4</c:v>
                </c:pt>
                <c:pt idx="94">
                  <c:v>128.9</c:v>
                </c:pt>
                <c:pt idx="95">
                  <c:v>129.4</c:v>
                </c:pt>
                <c:pt idx="96">
                  <c:v>130.0</c:v>
                </c:pt>
                <c:pt idx="97">
                  <c:v>130.5</c:v>
                </c:pt>
                <c:pt idx="98">
                  <c:v>131.0</c:v>
                </c:pt>
                <c:pt idx="99">
                  <c:v>131.6</c:v>
                </c:pt>
                <c:pt idx="100">
                  <c:v>132.0</c:v>
                </c:pt>
                <c:pt idx="101">
                  <c:v>132.5</c:v>
                </c:pt>
                <c:pt idx="102">
                  <c:v>133.1</c:v>
                </c:pt>
                <c:pt idx="103">
                  <c:v>133.6</c:v>
                </c:pt>
                <c:pt idx="104">
                  <c:v>134.2</c:v>
                </c:pt>
                <c:pt idx="105">
                  <c:v>134.7</c:v>
                </c:pt>
                <c:pt idx="106">
                  <c:v>135.3</c:v>
                </c:pt>
                <c:pt idx="107">
                  <c:v>135.8</c:v>
                </c:pt>
                <c:pt idx="108">
                  <c:v>136.4</c:v>
                </c:pt>
                <c:pt idx="109">
                  <c:v>136.9</c:v>
                </c:pt>
                <c:pt idx="110">
                  <c:v>137.5</c:v>
                </c:pt>
                <c:pt idx="111">
                  <c:v>138.0</c:v>
                </c:pt>
                <c:pt idx="112">
                  <c:v>138.6</c:v>
                </c:pt>
                <c:pt idx="113">
                  <c:v>139.1</c:v>
                </c:pt>
                <c:pt idx="114">
                  <c:v>139.7</c:v>
                </c:pt>
                <c:pt idx="115">
                  <c:v>140.3</c:v>
                </c:pt>
                <c:pt idx="116">
                  <c:v>140.9</c:v>
                </c:pt>
                <c:pt idx="117">
                  <c:v>141.5</c:v>
                </c:pt>
                <c:pt idx="118">
                  <c:v>142.2</c:v>
                </c:pt>
                <c:pt idx="119">
                  <c:v>142.7</c:v>
                </c:pt>
                <c:pt idx="120">
                  <c:v>143.4</c:v>
                </c:pt>
                <c:pt idx="121">
                  <c:v>144.0</c:v>
                </c:pt>
                <c:pt idx="122">
                  <c:v>144.6</c:v>
                </c:pt>
                <c:pt idx="123">
                  <c:v>145.2</c:v>
                </c:pt>
                <c:pt idx="124">
                  <c:v>145.9</c:v>
                </c:pt>
                <c:pt idx="125">
                  <c:v>146.4</c:v>
                </c:pt>
                <c:pt idx="126">
                  <c:v>147.1</c:v>
                </c:pt>
                <c:pt idx="127">
                  <c:v>147.7</c:v>
                </c:pt>
                <c:pt idx="128">
                  <c:v>148.2</c:v>
                </c:pt>
                <c:pt idx="129">
                  <c:v>148.8</c:v>
                </c:pt>
                <c:pt idx="130">
                  <c:v>149.4</c:v>
                </c:pt>
                <c:pt idx="131">
                  <c:v>149.8</c:v>
                </c:pt>
                <c:pt idx="132">
                  <c:v>150.4</c:v>
                </c:pt>
                <c:pt idx="133">
                  <c:v>151.0</c:v>
                </c:pt>
                <c:pt idx="134">
                  <c:v>151.5</c:v>
                </c:pt>
                <c:pt idx="135">
                  <c:v>152.1</c:v>
                </c:pt>
                <c:pt idx="136">
                  <c:v>152.7</c:v>
                </c:pt>
                <c:pt idx="137">
                  <c:v>153.2</c:v>
                </c:pt>
                <c:pt idx="138">
                  <c:v>153.8</c:v>
                </c:pt>
                <c:pt idx="139">
                  <c:v>154.1</c:v>
                </c:pt>
                <c:pt idx="140">
                  <c:v>154.4</c:v>
                </c:pt>
                <c:pt idx="141">
                  <c:v>154.9</c:v>
                </c:pt>
                <c:pt idx="142">
                  <c:v>155.2</c:v>
                </c:pt>
                <c:pt idx="143">
                  <c:v>155.6</c:v>
                </c:pt>
                <c:pt idx="144">
                  <c:v>155.9</c:v>
                </c:pt>
                <c:pt idx="145">
                  <c:v>156.2</c:v>
                </c:pt>
                <c:pt idx="146">
                  <c:v>156.6</c:v>
                </c:pt>
                <c:pt idx="147">
                  <c:v>157.0</c:v>
                </c:pt>
                <c:pt idx="148">
                  <c:v>157.4</c:v>
                </c:pt>
                <c:pt idx="149">
                  <c:v>157.7</c:v>
                </c:pt>
                <c:pt idx="150">
                  <c:v>158.0</c:v>
                </c:pt>
                <c:pt idx="151">
                  <c:v>158.3</c:v>
                </c:pt>
                <c:pt idx="152">
                  <c:v>158.4</c:v>
                </c:pt>
                <c:pt idx="153">
                  <c:v>158.7</c:v>
                </c:pt>
                <c:pt idx="154">
                  <c:v>158.9</c:v>
                </c:pt>
                <c:pt idx="155">
                  <c:v>159.1</c:v>
                </c:pt>
                <c:pt idx="156">
                  <c:v>159.3</c:v>
                </c:pt>
                <c:pt idx="157">
                  <c:v>159.5</c:v>
                </c:pt>
                <c:pt idx="158">
                  <c:v>159.7</c:v>
                </c:pt>
                <c:pt idx="159">
                  <c:v>159.9</c:v>
                </c:pt>
                <c:pt idx="160">
                  <c:v>160.1</c:v>
                </c:pt>
                <c:pt idx="161">
                  <c:v>160.3</c:v>
                </c:pt>
                <c:pt idx="162">
                  <c:v>160.5</c:v>
                </c:pt>
                <c:pt idx="163">
                  <c:v>160.6</c:v>
                </c:pt>
                <c:pt idx="164">
                  <c:v>160.8</c:v>
                </c:pt>
                <c:pt idx="165">
                  <c:v>160.9</c:v>
                </c:pt>
                <c:pt idx="166">
                  <c:v>161.1</c:v>
                </c:pt>
                <c:pt idx="167">
                  <c:v>161.2</c:v>
                </c:pt>
                <c:pt idx="168">
                  <c:v>161.4</c:v>
                </c:pt>
                <c:pt idx="169">
                  <c:v>161.4</c:v>
                </c:pt>
                <c:pt idx="170">
                  <c:v>161.5</c:v>
                </c:pt>
                <c:pt idx="171">
                  <c:v>161.7</c:v>
                </c:pt>
                <c:pt idx="172">
                  <c:v>161.8</c:v>
                </c:pt>
                <c:pt idx="173">
                  <c:v>162.0</c:v>
                </c:pt>
                <c:pt idx="174">
                  <c:v>162.1</c:v>
                </c:pt>
                <c:pt idx="175">
                  <c:v>162.1</c:v>
                </c:pt>
                <c:pt idx="176">
                  <c:v>162.2</c:v>
                </c:pt>
                <c:pt idx="177">
                  <c:v>162.2</c:v>
                </c:pt>
                <c:pt idx="178">
                  <c:v>162.3</c:v>
                </c:pt>
                <c:pt idx="179">
                  <c:v>162.3</c:v>
                </c:pt>
                <c:pt idx="180">
                  <c:v>162.4</c:v>
                </c:pt>
                <c:pt idx="181">
                  <c:v>162.4</c:v>
                </c:pt>
                <c:pt idx="182">
                  <c:v>162.3</c:v>
                </c:pt>
                <c:pt idx="183">
                  <c:v>162.4</c:v>
                </c:pt>
                <c:pt idx="184">
                  <c:v>162.4</c:v>
                </c:pt>
                <c:pt idx="185">
                  <c:v>162.5</c:v>
                </c:pt>
                <c:pt idx="186">
                  <c:v>162.5</c:v>
                </c:pt>
                <c:pt idx="187">
                  <c:v>162.5</c:v>
                </c:pt>
                <c:pt idx="188">
                  <c:v>162.6</c:v>
                </c:pt>
                <c:pt idx="189">
                  <c:v>162.6</c:v>
                </c:pt>
                <c:pt idx="190">
                  <c:v>162.6</c:v>
                </c:pt>
                <c:pt idx="191">
                  <c:v>162.7</c:v>
                </c:pt>
                <c:pt idx="192">
                  <c:v>162.7</c:v>
                </c:pt>
                <c:pt idx="193">
                  <c:v>162.7</c:v>
                </c:pt>
                <c:pt idx="194">
                  <c:v>162.8</c:v>
                </c:pt>
                <c:pt idx="195">
                  <c:v>162.8</c:v>
                </c:pt>
                <c:pt idx="196">
                  <c:v>162.8</c:v>
                </c:pt>
                <c:pt idx="197">
                  <c:v>162.9</c:v>
                </c:pt>
                <c:pt idx="198">
                  <c:v>162.9</c:v>
                </c:pt>
                <c:pt idx="199">
                  <c:v>162.9</c:v>
                </c:pt>
                <c:pt idx="200">
                  <c:v>163.0</c:v>
                </c:pt>
                <c:pt idx="201">
                  <c:v>163.0</c:v>
                </c:pt>
                <c:pt idx="202">
                  <c:v>163.0</c:v>
                </c:pt>
                <c:pt idx="203">
                  <c:v>163.1</c:v>
                </c:pt>
                <c:pt idx="204">
                  <c:v>163.1</c:v>
                </c:pt>
                <c:pt idx="205">
                  <c:v>163.1</c:v>
                </c:pt>
                <c:pt idx="206">
                  <c:v>163.2</c:v>
                </c:pt>
                <c:pt idx="207">
                  <c:v>163.2</c:v>
                </c:pt>
                <c:pt idx="208">
                  <c:v>163.2</c:v>
                </c:pt>
                <c:pt idx="209">
                  <c:v>163.3</c:v>
                </c:pt>
                <c:pt idx="210">
                  <c:v>163.4</c:v>
                </c:pt>
              </c:numCache>
            </c:numRef>
          </c:yVal>
          <c:smooth val="0"/>
        </c:ser>
        <c:ser>
          <c:idx val="3"/>
          <c:order val="3"/>
          <c:tx>
            <c:strRef>
              <c:f>成長曲線_データ!$J$2</c:f>
              <c:strCache>
                <c:ptCount val="1"/>
                <c:pt idx="0">
                  <c:v>-1SD</c:v>
                </c:pt>
              </c:strCache>
            </c:strRef>
          </c:tx>
          <c:spPr>
            <a:ln w="12700">
              <a:solidFill>
                <a:sysClr val="windowText" lastClr="000000"/>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成長曲線_データ!$J$4:$J$214</c:f>
              <c:numCache>
                <c:formatCode>General</c:formatCode>
                <c:ptCount val="211"/>
                <c:pt idx="0">
                  <c:v>46.3</c:v>
                </c:pt>
                <c:pt idx="1">
                  <c:v>50.5</c:v>
                </c:pt>
                <c:pt idx="2">
                  <c:v>54.5</c:v>
                </c:pt>
                <c:pt idx="3">
                  <c:v>57.8</c:v>
                </c:pt>
                <c:pt idx="4">
                  <c:v>60.4</c:v>
                </c:pt>
                <c:pt idx="5">
                  <c:v>62.3</c:v>
                </c:pt>
                <c:pt idx="6">
                  <c:v>63.90000000000001</c:v>
                </c:pt>
                <c:pt idx="7">
                  <c:v>65.2</c:v>
                </c:pt>
                <c:pt idx="8">
                  <c:v>66.5</c:v>
                </c:pt>
                <c:pt idx="9">
                  <c:v>67.6</c:v>
                </c:pt>
                <c:pt idx="10">
                  <c:v>68.8</c:v>
                </c:pt>
                <c:pt idx="11">
                  <c:v>69.8</c:v>
                </c:pt>
                <c:pt idx="12">
                  <c:v>70.9</c:v>
                </c:pt>
                <c:pt idx="13">
                  <c:v>72.0</c:v>
                </c:pt>
                <c:pt idx="14">
                  <c:v>72.9</c:v>
                </c:pt>
                <c:pt idx="15">
                  <c:v>73.9</c:v>
                </c:pt>
                <c:pt idx="16">
                  <c:v>74.9</c:v>
                </c:pt>
                <c:pt idx="17">
                  <c:v>75.7</c:v>
                </c:pt>
                <c:pt idx="18">
                  <c:v>76.7</c:v>
                </c:pt>
                <c:pt idx="19">
                  <c:v>77.5</c:v>
                </c:pt>
                <c:pt idx="20">
                  <c:v>78.4</c:v>
                </c:pt>
                <c:pt idx="21">
                  <c:v>79.2</c:v>
                </c:pt>
                <c:pt idx="22">
                  <c:v>79.9</c:v>
                </c:pt>
                <c:pt idx="23">
                  <c:v>80.6</c:v>
                </c:pt>
                <c:pt idx="24">
                  <c:v>81.4</c:v>
                </c:pt>
                <c:pt idx="25">
                  <c:v>82.0</c:v>
                </c:pt>
                <c:pt idx="26">
                  <c:v>82.7</c:v>
                </c:pt>
                <c:pt idx="27">
                  <c:v>83.4</c:v>
                </c:pt>
                <c:pt idx="28">
                  <c:v>84.0</c:v>
                </c:pt>
                <c:pt idx="29">
                  <c:v>84.60000000000001</c:v>
                </c:pt>
                <c:pt idx="30">
                  <c:v>85.30000000000001</c:v>
                </c:pt>
                <c:pt idx="31">
                  <c:v>85.8</c:v>
                </c:pt>
                <c:pt idx="32">
                  <c:v>86.4</c:v>
                </c:pt>
                <c:pt idx="33">
                  <c:v>87.0</c:v>
                </c:pt>
                <c:pt idx="34">
                  <c:v>87.60000000000001</c:v>
                </c:pt>
                <c:pt idx="35">
                  <c:v>88.3</c:v>
                </c:pt>
                <c:pt idx="36">
                  <c:v>88.8</c:v>
                </c:pt>
                <c:pt idx="37">
                  <c:v>89.4</c:v>
                </c:pt>
                <c:pt idx="38">
                  <c:v>90.1</c:v>
                </c:pt>
                <c:pt idx="39">
                  <c:v>90.6</c:v>
                </c:pt>
                <c:pt idx="40">
                  <c:v>91.2</c:v>
                </c:pt>
                <c:pt idx="41">
                  <c:v>91.8</c:v>
                </c:pt>
                <c:pt idx="42">
                  <c:v>92.30000000000001</c:v>
                </c:pt>
                <c:pt idx="43">
                  <c:v>92.9</c:v>
                </c:pt>
                <c:pt idx="44">
                  <c:v>93.5</c:v>
                </c:pt>
                <c:pt idx="45">
                  <c:v>94.0</c:v>
                </c:pt>
                <c:pt idx="46">
                  <c:v>94.6</c:v>
                </c:pt>
                <c:pt idx="47">
                  <c:v>95.10000000000001</c:v>
                </c:pt>
                <c:pt idx="48">
                  <c:v>95.7</c:v>
                </c:pt>
                <c:pt idx="49">
                  <c:v>96.2</c:v>
                </c:pt>
                <c:pt idx="50">
                  <c:v>96.69999999999998</c:v>
                </c:pt>
                <c:pt idx="51">
                  <c:v>97.3</c:v>
                </c:pt>
                <c:pt idx="52">
                  <c:v>97.8</c:v>
                </c:pt>
                <c:pt idx="53">
                  <c:v>98.3</c:v>
                </c:pt>
                <c:pt idx="54">
                  <c:v>98.8</c:v>
                </c:pt>
                <c:pt idx="55">
                  <c:v>99.4</c:v>
                </c:pt>
                <c:pt idx="56">
                  <c:v>99.80000000000001</c:v>
                </c:pt>
                <c:pt idx="57">
                  <c:v>100.4</c:v>
                </c:pt>
                <c:pt idx="58">
                  <c:v>100.9</c:v>
                </c:pt>
                <c:pt idx="59">
                  <c:v>101.4</c:v>
                </c:pt>
                <c:pt idx="60">
                  <c:v>102.0</c:v>
                </c:pt>
                <c:pt idx="61">
                  <c:v>102.4</c:v>
                </c:pt>
                <c:pt idx="62">
                  <c:v>103.0</c:v>
                </c:pt>
                <c:pt idx="63">
                  <c:v>103.5</c:v>
                </c:pt>
                <c:pt idx="64">
                  <c:v>104.0</c:v>
                </c:pt>
                <c:pt idx="65">
                  <c:v>104.5</c:v>
                </c:pt>
                <c:pt idx="66">
                  <c:v>105.1</c:v>
                </c:pt>
                <c:pt idx="67">
                  <c:v>105.5</c:v>
                </c:pt>
                <c:pt idx="68">
                  <c:v>106.1</c:v>
                </c:pt>
                <c:pt idx="69">
                  <c:v>106.6</c:v>
                </c:pt>
                <c:pt idx="70">
                  <c:v>107.0</c:v>
                </c:pt>
                <c:pt idx="71">
                  <c:v>107.6</c:v>
                </c:pt>
                <c:pt idx="72">
                  <c:v>108.1</c:v>
                </c:pt>
                <c:pt idx="73">
                  <c:v>108.6</c:v>
                </c:pt>
                <c:pt idx="74">
                  <c:v>109.1</c:v>
                </c:pt>
                <c:pt idx="75">
                  <c:v>109.5</c:v>
                </c:pt>
                <c:pt idx="76">
                  <c:v>109.9</c:v>
                </c:pt>
                <c:pt idx="77">
                  <c:v>110.4</c:v>
                </c:pt>
                <c:pt idx="78">
                  <c:v>110.9</c:v>
                </c:pt>
                <c:pt idx="79">
                  <c:v>111.4</c:v>
                </c:pt>
                <c:pt idx="80">
                  <c:v>111.9</c:v>
                </c:pt>
                <c:pt idx="81">
                  <c:v>112.4</c:v>
                </c:pt>
                <c:pt idx="82">
                  <c:v>112.8</c:v>
                </c:pt>
                <c:pt idx="83">
                  <c:v>113.3</c:v>
                </c:pt>
                <c:pt idx="84">
                  <c:v>113.8</c:v>
                </c:pt>
                <c:pt idx="85">
                  <c:v>114.2</c:v>
                </c:pt>
                <c:pt idx="86">
                  <c:v>114.7</c:v>
                </c:pt>
                <c:pt idx="87">
                  <c:v>115.1</c:v>
                </c:pt>
                <c:pt idx="88">
                  <c:v>115.6</c:v>
                </c:pt>
                <c:pt idx="89">
                  <c:v>116.1</c:v>
                </c:pt>
                <c:pt idx="90">
                  <c:v>116.6</c:v>
                </c:pt>
                <c:pt idx="91">
                  <c:v>117.0</c:v>
                </c:pt>
                <c:pt idx="92">
                  <c:v>117.5</c:v>
                </c:pt>
                <c:pt idx="93">
                  <c:v>118.0</c:v>
                </c:pt>
                <c:pt idx="94">
                  <c:v>118.3</c:v>
                </c:pt>
                <c:pt idx="95">
                  <c:v>118.8</c:v>
                </c:pt>
                <c:pt idx="96">
                  <c:v>119.2</c:v>
                </c:pt>
                <c:pt idx="97">
                  <c:v>119.7</c:v>
                </c:pt>
                <c:pt idx="98">
                  <c:v>120.2</c:v>
                </c:pt>
                <c:pt idx="99">
                  <c:v>120.6</c:v>
                </c:pt>
                <c:pt idx="100">
                  <c:v>121.0</c:v>
                </c:pt>
                <c:pt idx="101">
                  <c:v>121.5</c:v>
                </c:pt>
                <c:pt idx="102">
                  <c:v>121.9</c:v>
                </c:pt>
                <c:pt idx="103">
                  <c:v>122.4</c:v>
                </c:pt>
                <c:pt idx="104">
                  <c:v>122.8</c:v>
                </c:pt>
                <c:pt idx="105">
                  <c:v>123.3</c:v>
                </c:pt>
                <c:pt idx="106">
                  <c:v>123.7</c:v>
                </c:pt>
                <c:pt idx="107">
                  <c:v>124.2</c:v>
                </c:pt>
                <c:pt idx="108">
                  <c:v>124.6</c:v>
                </c:pt>
                <c:pt idx="109">
                  <c:v>125.1</c:v>
                </c:pt>
                <c:pt idx="110">
                  <c:v>125.5</c:v>
                </c:pt>
                <c:pt idx="111">
                  <c:v>126.0</c:v>
                </c:pt>
                <c:pt idx="112">
                  <c:v>126.4</c:v>
                </c:pt>
                <c:pt idx="113">
                  <c:v>126.9</c:v>
                </c:pt>
                <c:pt idx="114">
                  <c:v>127.3</c:v>
                </c:pt>
                <c:pt idx="115">
                  <c:v>127.9</c:v>
                </c:pt>
                <c:pt idx="116">
                  <c:v>128.3</c:v>
                </c:pt>
                <c:pt idx="117">
                  <c:v>128.9</c:v>
                </c:pt>
                <c:pt idx="118">
                  <c:v>129.4</c:v>
                </c:pt>
                <c:pt idx="119">
                  <c:v>129.9</c:v>
                </c:pt>
                <c:pt idx="120">
                  <c:v>130.4</c:v>
                </c:pt>
                <c:pt idx="121">
                  <c:v>131.0</c:v>
                </c:pt>
                <c:pt idx="122">
                  <c:v>131.4</c:v>
                </c:pt>
                <c:pt idx="123">
                  <c:v>132.0</c:v>
                </c:pt>
                <c:pt idx="124">
                  <c:v>132.5</c:v>
                </c:pt>
                <c:pt idx="125">
                  <c:v>133.0</c:v>
                </c:pt>
                <c:pt idx="126">
                  <c:v>133.5</c:v>
                </c:pt>
                <c:pt idx="127">
                  <c:v>134.1</c:v>
                </c:pt>
                <c:pt idx="128">
                  <c:v>134.6</c:v>
                </c:pt>
                <c:pt idx="129">
                  <c:v>135.2</c:v>
                </c:pt>
                <c:pt idx="130">
                  <c:v>135.8</c:v>
                </c:pt>
                <c:pt idx="131">
                  <c:v>136.4</c:v>
                </c:pt>
                <c:pt idx="132">
                  <c:v>137.0</c:v>
                </c:pt>
                <c:pt idx="133">
                  <c:v>137.6</c:v>
                </c:pt>
                <c:pt idx="134">
                  <c:v>138.1</c:v>
                </c:pt>
                <c:pt idx="135">
                  <c:v>138.7</c:v>
                </c:pt>
                <c:pt idx="136">
                  <c:v>139.3</c:v>
                </c:pt>
                <c:pt idx="137">
                  <c:v>139.8</c:v>
                </c:pt>
                <c:pt idx="138">
                  <c:v>140.4</c:v>
                </c:pt>
                <c:pt idx="139">
                  <c:v>140.9</c:v>
                </c:pt>
                <c:pt idx="140">
                  <c:v>141.4</c:v>
                </c:pt>
                <c:pt idx="141">
                  <c:v>141.9</c:v>
                </c:pt>
                <c:pt idx="142">
                  <c:v>142.4</c:v>
                </c:pt>
                <c:pt idx="143">
                  <c:v>142.8</c:v>
                </c:pt>
                <c:pt idx="144">
                  <c:v>143.3</c:v>
                </c:pt>
                <c:pt idx="145">
                  <c:v>143.8</c:v>
                </c:pt>
                <c:pt idx="146">
                  <c:v>144.2</c:v>
                </c:pt>
                <c:pt idx="147">
                  <c:v>144.8</c:v>
                </c:pt>
                <c:pt idx="148">
                  <c:v>145.2</c:v>
                </c:pt>
                <c:pt idx="149">
                  <c:v>145.7</c:v>
                </c:pt>
                <c:pt idx="150">
                  <c:v>146.2</c:v>
                </c:pt>
                <c:pt idx="151">
                  <c:v>146.5</c:v>
                </c:pt>
                <c:pt idx="152">
                  <c:v>146.8</c:v>
                </c:pt>
                <c:pt idx="153">
                  <c:v>147.1</c:v>
                </c:pt>
                <c:pt idx="154">
                  <c:v>147.3</c:v>
                </c:pt>
                <c:pt idx="155">
                  <c:v>147.7</c:v>
                </c:pt>
                <c:pt idx="156">
                  <c:v>147.9</c:v>
                </c:pt>
                <c:pt idx="157">
                  <c:v>148.3</c:v>
                </c:pt>
                <c:pt idx="158">
                  <c:v>148.5</c:v>
                </c:pt>
                <c:pt idx="159">
                  <c:v>148.9</c:v>
                </c:pt>
                <c:pt idx="160">
                  <c:v>149.1</c:v>
                </c:pt>
                <c:pt idx="161">
                  <c:v>149.5</c:v>
                </c:pt>
                <c:pt idx="162">
                  <c:v>149.7</c:v>
                </c:pt>
                <c:pt idx="163">
                  <c:v>149.8</c:v>
                </c:pt>
                <c:pt idx="164">
                  <c:v>150.0</c:v>
                </c:pt>
                <c:pt idx="165">
                  <c:v>150.1</c:v>
                </c:pt>
                <c:pt idx="166">
                  <c:v>150.3</c:v>
                </c:pt>
                <c:pt idx="167">
                  <c:v>150.4</c:v>
                </c:pt>
                <c:pt idx="168">
                  <c:v>150.6</c:v>
                </c:pt>
                <c:pt idx="169">
                  <c:v>150.8</c:v>
                </c:pt>
                <c:pt idx="170">
                  <c:v>150.9</c:v>
                </c:pt>
                <c:pt idx="171">
                  <c:v>151.1</c:v>
                </c:pt>
                <c:pt idx="172">
                  <c:v>151.2</c:v>
                </c:pt>
                <c:pt idx="173">
                  <c:v>151.4</c:v>
                </c:pt>
                <c:pt idx="174">
                  <c:v>151.5</c:v>
                </c:pt>
                <c:pt idx="175">
                  <c:v>151.5</c:v>
                </c:pt>
                <c:pt idx="176">
                  <c:v>151.6</c:v>
                </c:pt>
                <c:pt idx="177">
                  <c:v>151.6</c:v>
                </c:pt>
                <c:pt idx="178">
                  <c:v>151.7</c:v>
                </c:pt>
                <c:pt idx="179">
                  <c:v>151.7</c:v>
                </c:pt>
                <c:pt idx="180">
                  <c:v>151.8</c:v>
                </c:pt>
                <c:pt idx="181">
                  <c:v>151.8</c:v>
                </c:pt>
                <c:pt idx="182">
                  <c:v>151.9</c:v>
                </c:pt>
                <c:pt idx="183">
                  <c:v>152.0</c:v>
                </c:pt>
                <c:pt idx="184">
                  <c:v>152.0</c:v>
                </c:pt>
                <c:pt idx="185">
                  <c:v>152.1</c:v>
                </c:pt>
                <c:pt idx="186">
                  <c:v>152.1</c:v>
                </c:pt>
                <c:pt idx="187">
                  <c:v>152.1</c:v>
                </c:pt>
                <c:pt idx="188">
                  <c:v>152.2</c:v>
                </c:pt>
                <c:pt idx="189">
                  <c:v>152.2</c:v>
                </c:pt>
                <c:pt idx="190">
                  <c:v>152.2</c:v>
                </c:pt>
                <c:pt idx="191">
                  <c:v>152.3</c:v>
                </c:pt>
                <c:pt idx="192">
                  <c:v>152.3</c:v>
                </c:pt>
                <c:pt idx="193">
                  <c:v>152.3</c:v>
                </c:pt>
                <c:pt idx="194">
                  <c:v>152.4</c:v>
                </c:pt>
                <c:pt idx="195">
                  <c:v>152.4</c:v>
                </c:pt>
                <c:pt idx="196">
                  <c:v>152.4</c:v>
                </c:pt>
                <c:pt idx="197">
                  <c:v>152.5</c:v>
                </c:pt>
                <c:pt idx="198">
                  <c:v>152.5</c:v>
                </c:pt>
                <c:pt idx="199">
                  <c:v>152.5</c:v>
                </c:pt>
                <c:pt idx="200">
                  <c:v>152.6</c:v>
                </c:pt>
                <c:pt idx="201">
                  <c:v>152.6</c:v>
                </c:pt>
                <c:pt idx="202">
                  <c:v>152.6</c:v>
                </c:pt>
                <c:pt idx="203">
                  <c:v>152.7</c:v>
                </c:pt>
                <c:pt idx="204">
                  <c:v>152.7</c:v>
                </c:pt>
                <c:pt idx="205">
                  <c:v>152.7</c:v>
                </c:pt>
                <c:pt idx="206">
                  <c:v>152.8</c:v>
                </c:pt>
                <c:pt idx="207">
                  <c:v>152.8</c:v>
                </c:pt>
                <c:pt idx="208">
                  <c:v>152.8</c:v>
                </c:pt>
                <c:pt idx="209">
                  <c:v>152.9</c:v>
                </c:pt>
                <c:pt idx="210">
                  <c:v>152.8</c:v>
                </c:pt>
              </c:numCache>
            </c:numRef>
          </c:yVal>
          <c:smooth val="0"/>
        </c:ser>
        <c:ser>
          <c:idx val="4"/>
          <c:order val="4"/>
          <c:tx>
            <c:strRef>
              <c:f>成長曲線_データ!$K$2</c:f>
              <c:strCache>
                <c:ptCount val="1"/>
                <c:pt idx="0">
                  <c:v>-2SD</c:v>
                </c:pt>
              </c:strCache>
            </c:strRef>
          </c:tx>
          <c:spPr>
            <a:ln w="127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成長曲線_データ!$K$4:$K$214</c:f>
              <c:numCache>
                <c:formatCode>General</c:formatCode>
                <c:ptCount val="211"/>
                <c:pt idx="0">
                  <c:v>44.2</c:v>
                </c:pt>
                <c:pt idx="1">
                  <c:v>48.4</c:v>
                </c:pt>
                <c:pt idx="2">
                  <c:v>52.3</c:v>
                </c:pt>
                <c:pt idx="3">
                  <c:v>55.6</c:v>
                </c:pt>
                <c:pt idx="4">
                  <c:v>58.2</c:v>
                </c:pt>
                <c:pt idx="5">
                  <c:v>6</c:v>
                </c:pt>
                <c:pt idx="6">
                  <c:v>61.6</c:v>
                </c:pt>
                <c:pt idx="7">
                  <c:v>62.9</c:v>
                </c:pt>
                <c:pt idx="8">
                  <c:v>64.10000000000001</c:v>
                </c:pt>
                <c:pt idx="9">
                  <c:v>65.2</c:v>
                </c:pt>
                <c:pt idx="10">
                  <c:v>66.4</c:v>
                </c:pt>
                <c:pt idx="11">
                  <c:v>67.3</c:v>
                </c:pt>
                <c:pt idx="12">
                  <c:v>68.4</c:v>
                </c:pt>
                <c:pt idx="13">
                  <c:v>69.5</c:v>
                </c:pt>
                <c:pt idx="14">
                  <c:v>70.3</c:v>
                </c:pt>
                <c:pt idx="15">
                  <c:v>71.3</c:v>
                </c:pt>
                <c:pt idx="16">
                  <c:v>72.3</c:v>
                </c:pt>
                <c:pt idx="17">
                  <c:v>73.0</c:v>
                </c:pt>
                <c:pt idx="18">
                  <c:v>74.0</c:v>
                </c:pt>
                <c:pt idx="19">
                  <c:v>74.7</c:v>
                </c:pt>
                <c:pt idx="20">
                  <c:v>75.60000000000001</c:v>
                </c:pt>
                <c:pt idx="21">
                  <c:v>76.4</c:v>
                </c:pt>
                <c:pt idx="22">
                  <c:v>77.0</c:v>
                </c:pt>
                <c:pt idx="23">
                  <c:v>77.7</c:v>
                </c:pt>
                <c:pt idx="24">
                  <c:v>78.5</c:v>
                </c:pt>
                <c:pt idx="25">
                  <c:v>79.0</c:v>
                </c:pt>
                <c:pt idx="26">
                  <c:v>79.7</c:v>
                </c:pt>
                <c:pt idx="27">
                  <c:v>80.4</c:v>
                </c:pt>
                <c:pt idx="28">
                  <c:v>80.9</c:v>
                </c:pt>
                <c:pt idx="29">
                  <c:v>81.5</c:v>
                </c:pt>
                <c:pt idx="30">
                  <c:v>82.2</c:v>
                </c:pt>
                <c:pt idx="31">
                  <c:v>82.6</c:v>
                </c:pt>
                <c:pt idx="32">
                  <c:v>83.19999999999998</c:v>
                </c:pt>
                <c:pt idx="33">
                  <c:v>83.7</c:v>
                </c:pt>
                <c:pt idx="34">
                  <c:v>84.30000000000001</c:v>
                </c:pt>
                <c:pt idx="35">
                  <c:v>85.0</c:v>
                </c:pt>
                <c:pt idx="36">
                  <c:v>85.4</c:v>
                </c:pt>
                <c:pt idx="37">
                  <c:v>86.0</c:v>
                </c:pt>
                <c:pt idx="38">
                  <c:v>86.7</c:v>
                </c:pt>
                <c:pt idx="39">
                  <c:v>87.1</c:v>
                </c:pt>
                <c:pt idx="40">
                  <c:v>87.7</c:v>
                </c:pt>
                <c:pt idx="41">
                  <c:v>88.3</c:v>
                </c:pt>
                <c:pt idx="42">
                  <c:v>88.7</c:v>
                </c:pt>
                <c:pt idx="43">
                  <c:v>89.3</c:v>
                </c:pt>
                <c:pt idx="44">
                  <c:v>89.9</c:v>
                </c:pt>
                <c:pt idx="45">
                  <c:v>90.3</c:v>
                </c:pt>
                <c:pt idx="46">
                  <c:v>90.9</c:v>
                </c:pt>
                <c:pt idx="47">
                  <c:v>91.30000000000001</c:v>
                </c:pt>
                <c:pt idx="48">
                  <c:v>91.9</c:v>
                </c:pt>
                <c:pt idx="49">
                  <c:v>92.4</c:v>
                </c:pt>
                <c:pt idx="50">
                  <c:v>92.8</c:v>
                </c:pt>
                <c:pt idx="51">
                  <c:v>93.4</c:v>
                </c:pt>
                <c:pt idx="52">
                  <c:v>93.9</c:v>
                </c:pt>
                <c:pt idx="53">
                  <c:v>94.3</c:v>
                </c:pt>
                <c:pt idx="54">
                  <c:v>94.8</c:v>
                </c:pt>
                <c:pt idx="55">
                  <c:v>95.4</c:v>
                </c:pt>
                <c:pt idx="56">
                  <c:v>95.7</c:v>
                </c:pt>
                <c:pt idx="57">
                  <c:v>96.3</c:v>
                </c:pt>
                <c:pt idx="58">
                  <c:v>96.8</c:v>
                </c:pt>
                <c:pt idx="59">
                  <c:v>97.19999999999998</c:v>
                </c:pt>
                <c:pt idx="60">
                  <c:v>97.8</c:v>
                </c:pt>
                <c:pt idx="61">
                  <c:v>98.10000000000001</c:v>
                </c:pt>
                <c:pt idx="62">
                  <c:v>98.7</c:v>
                </c:pt>
                <c:pt idx="63">
                  <c:v>99.2</c:v>
                </c:pt>
                <c:pt idx="64">
                  <c:v>99.60000000000001</c:v>
                </c:pt>
                <c:pt idx="65">
                  <c:v>100.1</c:v>
                </c:pt>
                <c:pt idx="66">
                  <c:v>100.7</c:v>
                </c:pt>
                <c:pt idx="67">
                  <c:v>101.0</c:v>
                </c:pt>
                <c:pt idx="68">
                  <c:v>101.6</c:v>
                </c:pt>
                <c:pt idx="69">
                  <c:v>102.1</c:v>
                </c:pt>
                <c:pt idx="70">
                  <c:v>102.4</c:v>
                </c:pt>
                <c:pt idx="71">
                  <c:v>103.0</c:v>
                </c:pt>
                <c:pt idx="72">
                  <c:v>103.5</c:v>
                </c:pt>
                <c:pt idx="73">
                  <c:v>103.9</c:v>
                </c:pt>
                <c:pt idx="74">
                  <c:v>104.4</c:v>
                </c:pt>
                <c:pt idx="75">
                  <c:v>104.9</c:v>
                </c:pt>
                <c:pt idx="76">
                  <c:v>105.2</c:v>
                </c:pt>
                <c:pt idx="77">
                  <c:v>105.6</c:v>
                </c:pt>
                <c:pt idx="78">
                  <c:v>106.0</c:v>
                </c:pt>
                <c:pt idx="79">
                  <c:v>106.5</c:v>
                </c:pt>
                <c:pt idx="80">
                  <c:v>107.0</c:v>
                </c:pt>
                <c:pt idx="81">
                  <c:v>107.5</c:v>
                </c:pt>
                <c:pt idx="82">
                  <c:v>107.8</c:v>
                </c:pt>
                <c:pt idx="83">
                  <c:v>108.3</c:v>
                </c:pt>
                <c:pt idx="84">
                  <c:v>108.8</c:v>
                </c:pt>
                <c:pt idx="85">
                  <c:v>109.2</c:v>
                </c:pt>
                <c:pt idx="86">
                  <c:v>109.7</c:v>
                </c:pt>
                <c:pt idx="87">
                  <c:v>110.0</c:v>
                </c:pt>
                <c:pt idx="88">
                  <c:v>110.5</c:v>
                </c:pt>
                <c:pt idx="89">
                  <c:v>111.0</c:v>
                </c:pt>
                <c:pt idx="90">
                  <c:v>111.5</c:v>
                </c:pt>
                <c:pt idx="91">
                  <c:v>111.8</c:v>
                </c:pt>
                <c:pt idx="92">
                  <c:v>112.3</c:v>
                </c:pt>
                <c:pt idx="93">
                  <c:v>112.8</c:v>
                </c:pt>
                <c:pt idx="94">
                  <c:v>113.0</c:v>
                </c:pt>
                <c:pt idx="95">
                  <c:v>113.5</c:v>
                </c:pt>
                <c:pt idx="96">
                  <c:v>113.8</c:v>
                </c:pt>
                <c:pt idx="97">
                  <c:v>114.3</c:v>
                </c:pt>
                <c:pt idx="98">
                  <c:v>114.8</c:v>
                </c:pt>
                <c:pt idx="99">
                  <c:v>115.1</c:v>
                </c:pt>
                <c:pt idx="100">
                  <c:v>115.5</c:v>
                </c:pt>
                <c:pt idx="101">
                  <c:v>116.0</c:v>
                </c:pt>
                <c:pt idx="102">
                  <c:v>116.3</c:v>
                </c:pt>
                <c:pt idx="103">
                  <c:v>116.8</c:v>
                </c:pt>
                <c:pt idx="104">
                  <c:v>117.1</c:v>
                </c:pt>
                <c:pt idx="105">
                  <c:v>117.6</c:v>
                </c:pt>
                <c:pt idx="106">
                  <c:v>117.9</c:v>
                </c:pt>
                <c:pt idx="107">
                  <c:v>118.4</c:v>
                </c:pt>
                <c:pt idx="108">
                  <c:v>118.7</c:v>
                </c:pt>
                <c:pt idx="109">
                  <c:v>119.2</c:v>
                </c:pt>
                <c:pt idx="110">
                  <c:v>119.5</c:v>
                </c:pt>
                <c:pt idx="111">
                  <c:v>120.0</c:v>
                </c:pt>
                <c:pt idx="112">
                  <c:v>120.3</c:v>
                </c:pt>
                <c:pt idx="113">
                  <c:v>120.8</c:v>
                </c:pt>
                <c:pt idx="114">
                  <c:v>121.1</c:v>
                </c:pt>
                <c:pt idx="115">
                  <c:v>121.7</c:v>
                </c:pt>
                <c:pt idx="116">
                  <c:v>122.0</c:v>
                </c:pt>
                <c:pt idx="117">
                  <c:v>122.6</c:v>
                </c:pt>
                <c:pt idx="118">
                  <c:v>123.0</c:v>
                </c:pt>
                <c:pt idx="119">
                  <c:v>123.5</c:v>
                </c:pt>
                <c:pt idx="120">
                  <c:v>123.9</c:v>
                </c:pt>
                <c:pt idx="121">
                  <c:v>124.5</c:v>
                </c:pt>
                <c:pt idx="122">
                  <c:v>124.8</c:v>
                </c:pt>
                <c:pt idx="123">
                  <c:v>125.4</c:v>
                </c:pt>
                <c:pt idx="124">
                  <c:v>125.8</c:v>
                </c:pt>
                <c:pt idx="125">
                  <c:v>126.3</c:v>
                </c:pt>
                <c:pt idx="126">
                  <c:v>126.7</c:v>
                </c:pt>
                <c:pt idx="127">
                  <c:v>127.3</c:v>
                </c:pt>
                <c:pt idx="128">
                  <c:v>127.8</c:v>
                </c:pt>
                <c:pt idx="129">
                  <c:v>128.4</c:v>
                </c:pt>
                <c:pt idx="130">
                  <c:v>129.0</c:v>
                </c:pt>
                <c:pt idx="131">
                  <c:v>129.7</c:v>
                </c:pt>
                <c:pt idx="132">
                  <c:v>130.3</c:v>
                </c:pt>
                <c:pt idx="133">
                  <c:v>130.9</c:v>
                </c:pt>
                <c:pt idx="134">
                  <c:v>131.4</c:v>
                </c:pt>
                <c:pt idx="135">
                  <c:v>132.0</c:v>
                </c:pt>
                <c:pt idx="136">
                  <c:v>132.6</c:v>
                </c:pt>
                <c:pt idx="137">
                  <c:v>133.1</c:v>
                </c:pt>
                <c:pt idx="138">
                  <c:v>133.7</c:v>
                </c:pt>
                <c:pt idx="139">
                  <c:v>134.3</c:v>
                </c:pt>
                <c:pt idx="140">
                  <c:v>134.9</c:v>
                </c:pt>
                <c:pt idx="141">
                  <c:v>135.4</c:v>
                </c:pt>
                <c:pt idx="142">
                  <c:v>136.0</c:v>
                </c:pt>
                <c:pt idx="143">
                  <c:v>136.4</c:v>
                </c:pt>
                <c:pt idx="144">
                  <c:v>137.0</c:v>
                </c:pt>
                <c:pt idx="145">
                  <c:v>137.6</c:v>
                </c:pt>
                <c:pt idx="146">
                  <c:v>138.0</c:v>
                </c:pt>
                <c:pt idx="147">
                  <c:v>138.7</c:v>
                </c:pt>
                <c:pt idx="148">
                  <c:v>139.1</c:v>
                </c:pt>
                <c:pt idx="149">
                  <c:v>139.7</c:v>
                </c:pt>
                <c:pt idx="150">
                  <c:v>140.3</c:v>
                </c:pt>
                <c:pt idx="151">
                  <c:v>140.6</c:v>
                </c:pt>
                <c:pt idx="152">
                  <c:v>141.0</c:v>
                </c:pt>
                <c:pt idx="153">
                  <c:v>141.3</c:v>
                </c:pt>
                <c:pt idx="154">
                  <c:v>141.5</c:v>
                </c:pt>
                <c:pt idx="155">
                  <c:v>142.0</c:v>
                </c:pt>
                <c:pt idx="156">
                  <c:v>142.2</c:v>
                </c:pt>
                <c:pt idx="157">
                  <c:v>142.7</c:v>
                </c:pt>
                <c:pt idx="158">
                  <c:v>142.9</c:v>
                </c:pt>
                <c:pt idx="159">
                  <c:v>143.4</c:v>
                </c:pt>
                <c:pt idx="160">
                  <c:v>143.6</c:v>
                </c:pt>
                <c:pt idx="161">
                  <c:v>144.1</c:v>
                </c:pt>
                <c:pt idx="162">
                  <c:v>144.3</c:v>
                </c:pt>
                <c:pt idx="163">
                  <c:v>144.4</c:v>
                </c:pt>
                <c:pt idx="164">
                  <c:v>144.6</c:v>
                </c:pt>
                <c:pt idx="165">
                  <c:v>144.7</c:v>
                </c:pt>
                <c:pt idx="166">
                  <c:v>144.9</c:v>
                </c:pt>
                <c:pt idx="167">
                  <c:v>145.0</c:v>
                </c:pt>
                <c:pt idx="168">
                  <c:v>145.2</c:v>
                </c:pt>
                <c:pt idx="169">
                  <c:v>145.5</c:v>
                </c:pt>
                <c:pt idx="170">
                  <c:v>145.6</c:v>
                </c:pt>
                <c:pt idx="171">
                  <c:v>145.8</c:v>
                </c:pt>
                <c:pt idx="172">
                  <c:v>145.9</c:v>
                </c:pt>
                <c:pt idx="173">
                  <c:v>146.1</c:v>
                </c:pt>
                <c:pt idx="174">
                  <c:v>146.2</c:v>
                </c:pt>
                <c:pt idx="175">
                  <c:v>146.2</c:v>
                </c:pt>
                <c:pt idx="176">
                  <c:v>146.3</c:v>
                </c:pt>
                <c:pt idx="177">
                  <c:v>146.3</c:v>
                </c:pt>
                <c:pt idx="178">
                  <c:v>146.4</c:v>
                </c:pt>
                <c:pt idx="179">
                  <c:v>146.4</c:v>
                </c:pt>
                <c:pt idx="180">
                  <c:v>146.5</c:v>
                </c:pt>
                <c:pt idx="181">
                  <c:v>146.5</c:v>
                </c:pt>
                <c:pt idx="182">
                  <c:v>146.7</c:v>
                </c:pt>
                <c:pt idx="183">
                  <c:v>146.8</c:v>
                </c:pt>
                <c:pt idx="184">
                  <c:v>146.8</c:v>
                </c:pt>
                <c:pt idx="185">
                  <c:v>146.9</c:v>
                </c:pt>
                <c:pt idx="186">
                  <c:v>146.9</c:v>
                </c:pt>
                <c:pt idx="187">
                  <c:v>146.9</c:v>
                </c:pt>
                <c:pt idx="188">
                  <c:v>147.0</c:v>
                </c:pt>
                <c:pt idx="189">
                  <c:v>147.0</c:v>
                </c:pt>
                <c:pt idx="190">
                  <c:v>147.0</c:v>
                </c:pt>
                <c:pt idx="191">
                  <c:v>147.1</c:v>
                </c:pt>
                <c:pt idx="192">
                  <c:v>147.1</c:v>
                </c:pt>
                <c:pt idx="193">
                  <c:v>147.1</c:v>
                </c:pt>
                <c:pt idx="194">
                  <c:v>147.2</c:v>
                </c:pt>
                <c:pt idx="195">
                  <c:v>147.2</c:v>
                </c:pt>
                <c:pt idx="196">
                  <c:v>147.2</c:v>
                </c:pt>
                <c:pt idx="197">
                  <c:v>147.3</c:v>
                </c:pt>
                <c:pt idx="198">
                  <c:v>147.3</c:v>
                </c:pt>
                <c:pt idx="199">
                  <c:v>147.3</c:v>
                </c:pt>
                <c:pt idx="200">
                  <c:v>147.4</c:v>
                </c:pt>
                <c:pt idx="201">
                  <c:v>147.4</c:v>
                </c:pt>
                <c:pt idx="202">
                  <c:v>147.4</c:v>
                </c:pt>
                <c:pt idx="203">
                  <c:v>147.5</c:v>
                </c:pt>
                <c:pt idx="204">
                  <c:v>147.5</c:v>
                </c:pt>
                <c:pt idx="205">
                  <c:v>147.5</c:v>
                </c:pt>
                <c:pt idx="206">
                  <c:v>147.6</c:v>
                </c:pt>
                <c:pt idx="207">
                  <c:v>147.6</c:v>
                </c:pt>
                <c:pt idx="208">
                  <c:v>147.6</c:v>
                </c:pt>
                <c:pt idx="209">
                  <c:v>147.7</c:v>
                </c:pt>
                <c:pt idx="210">
                  <c:v>147.5</c:v>
                </c:pt>
              </c:numCache>
            </c:numRef>
          </c:yVal>
          <c:smooth val="0"/>
        </c:ser>
        <c:ser>
          <c:idx val="5"/>
          <c:order val="5"/>
          <c:tx>
            <c:strRef>
              <c:f>成長曲線_データ!$L$2</c:f>
              <c:strCache>
                <c:ptCount val="1"/>
                <c:pt idx="0">
                  <c:v>-2.5SD</c:v>
                </c:pt>
              </c:strCache>
            </c:strRef>
          </c:tx>
          <c:spPr>
            <a:ln w="12700">
              <a:solidFill>
                <a:sysClr val="windowText" lastClr="000000"/>
              </a:solidFill>
              <a:prstDash val="dash"/>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成長曲線_データ!$L$4:$L$214</c:f>
              <c:numCache>
                <c:formatCode>General</c:formatCode>
                <c:ptCount val="211"/>
                <c:pt idx="0">
                  <c:v>43.15</c:v>
                </c:pt>
                <c:pt idx="1">
                  <c:v>47.35</c:v>
                </c:pt>
                <c:pt idx="2">
                  <c:v>51.2</c:v>
                </c:pt>
                <c:pt idx="3">
                  <c:v>54.5</c:v>
                </c:pt>
                <c:pt idx="4">
                  <c:v>57.1</c:v>
                </c:pt>
                <c:pt idx="5">
                  <c:v>58.85</c:v>
                </c:pt>
                <c:pt idx="6">
                  <c:v>60.45</c:v>
                </c:pt>
                <c:pt idx="7">
                  <c:v>61.75</c:v>
                </c:pt>
                <c:pt idx="8">
                  <c:v>62.90000000000001</c:v>
                </c:pt>
                <c:pt idx="9">
                  <c:v>64.0</c:v>
                </c:pt>
                <c:pt idx="10">
                  <c:v>65.2</c:v>
                </c:pt>
                <c:pt idx="11">
                  <c:v>66.05</c:v>
                </c:pt>
                <c:pt idx="12">
                  <c:v>67.15000000000001</c:v>
                </c:pt>
                <c:pt idx="13">
                  <c:v>68.25</c:v>
                </c:pt>
                <c:pt idx="14">
                  <c:v>69.0</c:v>
                </c:pt>
                <c:pt idx="15">
                  <c:v>70.0</c:v>
                </c:pt>
                <c:pt idx="16">
                  <c:v>71.0</c:v>
                </c:pt>
                <c:pt idx="17">
                  <c:v>71.65000000000001</c:v>
                </c:pt>
                <c:pt idx="18">
                  <c:v>72.65000000000001</c:v>
                </c:pt>
                <c:pt idx="19">
                  <c:v>73.3</c:v>
                </c:pt>
                <c:pt idx="20">
                  <c:v>74.2</c:v>
                </c:pt>
                <c:pt idx="21">
                  <c:v>75.0</c:v>
                </c:pt>
                <c:pt idx="22">
                  <c:v>75.55</c:v>
                </c:pt>
                <c:pt idx="23">
                  <c:v>76.25</c:v>
                </c:pt>
                <c:pt idx="24">
                  <c:v>77.05</c:v>
                </c:pt>
                <c:pt idx="25">
                  <c:v>77.5</c:v>
                </c:pt>
                <c:pt idx="26">
                  <c:v>78.2</c:v>
                </c:pt>
                <c:pt idx="27">
                  <c:v>78.9</c:v>
                </c:pt>
                <c:pt idx="28">
                  <c:v>79.35</c:v>
                </c:pt>
                <c:pt idx="29">
                  <c:v>79.95</c:v>
                </c:pt>
                <c:pt idx="30">
                  <c:v>80.65000000000001</c:v>
                </c:pt>
                <c:pt idx="31">
                  <c:v>81.0</c:v>
                </c:pt>
                <c:pt idx="32">
                  <c:v>81.6</c:v>
                </c:pt>
                <c:pt idx="33">
                  <c:v>82.05</c:v>
                </c:pt>
                <c:pt idx="34">
                  <c:v>82.65000000000001</c:v>
                </c:pt>
                <c:pt idx="35">
                  <c:v>83.35</c:v>
                </c:pt>
                <c:pt idx="36">
                  <c:v>83.7</c:v>
                </c:pt>
                <c:pt idx="37">
                  <c:v>84.3</c:v>
                </c:pt>
                <c:pt idx="38">
                  <c:v>85.0</c:v>
                </c:pt>
                <c:pt idx="39">
                  <c:v>85.35</c:v>
                </c:pt>
                <c:pt idx="40">
                  <c:v>85.95</c:v>
                </c:pt>
                <c:pt idx="41">
                  <c:v>86.55</c:v>
                </c:pt>
                <c:pt idx="42">
                  <c:v>86.9</c:v>
                </c:pt>
                <c:pt idx="43">
                  <c:v>87.5</c:v>
                </c:pt>
                <c:pt idx="44">
                  <c:v>88.1</c:v>
                </c:pt>
                <c:pt idx="45">
                  <c:v>88.45</c:v>
                </c:pt>
                <c:pt idx="46">
                  <c:v>89.05</c:v>
                </c:pt>
                <c:pt idx="47">
                  <c:v>89.4</c:v>
                </c:pt>
                <c:pt idx="48">
                  <c:v>90.0</c:v>
                </c:pt>
                <c:pt idx="49">
                  <c:v>90.5</c:v>
                </c:pt>
                <c:pt idx="50">
                  <c:v>90.85</c:v>
                </c:pt>
                <c:pt idx="51">
                  <c:v>91.45</c:v>
                </c:pt>
                <c:pt idx="52">
                  <c:v>91.95</c:v>
                </c:pt>
                <c:pt idx="53">
                  <c:v>92.3</c:v>
                </c:pt>
                <c:pt idx="54">
                  <c:v>92.8</c:v>
                </c:pt>
                <c:pt idx="55">
                  <c:v>93.4</c:v>
                </c:pt>
                <c:pt idx="56">
                  <c:v>93.65000000000001</c:v>
                </c:pt>
                <c:pt idx="57">
                  <c:v>94.25</c:v>
                </c:pt>
                <c:pt idx="58">
                  <c:v>94.75</c:v>
                </c:pt>
                <c:pt idx="59">
                  <c:v>95.1</c:v>
                </c:pt>
                <c:pt idx="60">
                  <c:v>95.7</c:v>
                </c:pt>
                <c:pt idx="61">
                  <c:v>95.95</c:v>
                </c:pt>
                <c:pt idx="62">
                  <c:v>96.55</c:v>
                </c:pt>
                <c:pt idx="63">
                  <c:v>97.05</c:v>
                </c:pt>
                <c:pt idx="64">
                  <c:v>97.4</c:v>
                </c:pt>
                <c:pt idx="65">
                  <c:v>97.9</c:v>
                </c:pt>
                <c:pt idx="66">
                  <c:v>98.5</c:v>
                </c:pt>
                <c:pt idx="67">
                  <c:v>98.75</c:v>
                </c:pt>
                <c:pt idx="68">
                  <c:v>99.35</c:v>
                </c:pt>
                <c:pt idx="69">
                  <c:v>99.85</c:v>
                </c:pt>
                <c:pt idx="70">
                  <c:v>100.1</c:v>
                </c:pt>
                <c:pt idx="71">
                  <c:v>100.7</c:v>
                </c:pt>
                <c:pt idx="72">
                  <c:v>101.2</c:v>
                </c:pt>
                <c:pt idx="73">
                  <c:v>101.55</c:v>
                </c:pt>
                <c:pt idx="74">
                  <c:v>102.05</c:v>
                </c:pt>
                <c:pt idx="75">
                  <c:v>102.6</c:v>
                </c:pt>
                <c:pt idx="76">
                  <c:v>102.85</c:v>
                </c:pt>
                <c:pt idx="77">
                  <c:v>103.2</c:v>
                </c:pt>
                <c:pt idx="78">
                  <c:v>103.55</c:v>
                </c:pt>
                <c:pt idx="79">
                  <c:v>104.05</c:v>
                </c:pt>
                <c:pt idx="80">
                  <c:v>104.55</c:v>
                </c:pt>
                <c:pt idx="81">
                  <c:v>105.05</c:v>
                </c:pt>
                <c:pt idx="82">
                  <c:v>105.3</c:v>
                </c:pt>
                <c:pt idx="83">
                  <c:v>105.8</c:v>
                </c:pt>
                <c:pt idx="84">
                  <c:v>106.3</c:v>
                </c:pt>
                <c:pt idx="85">
                  <c:v>106.7</c:v>
                </c:pt>
                <c:pt idx="86">
                  <c:v>107.2</c:v>
                </c:pt>
                <c:pt idx="87">
                  <c:v>107.45</c:v>
                </c:pt>
                <c:pt idx="88">
                  <c:v>107.95</c:v>
                </c:pt>
                <c:pt idx="89">
                  <c:v>108.45</c:v>
                </c:pt>
                <c:pt idx="90">
                  <c:v>108.95</c:v>
                </c:pt>
                <c:pt idx="91">
                  <c:v>109.2</c:v>
                </c:pt>
                <c:pt idx="92">
                  <c:v>109.7</c:v>
                </c:pt>
                <c:pt idx="93">
                  <c:v>110.2</c:v>
                </c:pt>
                <c:pt idx="94">
                  <c:v>110.35</c:v>
                </c:pt>
                <c:pt idx="95">
                  <c:v>110.85</c:v>
                </c:pt>
                <c:pt idx="96">
                  <c:v>111.1</c:v>
                </c:pt>
                <c:pt idx="97">
                  <c:v>111.6</c:v>
                </c:pt>
                <c:pt idx="98">
                  <c:v>112.1</c:v>
                </c:pt>
                <c:pt idx="99">
                  <c:v>112.35</c:v>
                </c:pt>
                <c:pt idx="100">
                  <c:v>112.75</c:v>
                </c:pt>
                <c:pt idx="101">
                  <c:v>113.25</c:v>
                </c:pt>
                <c:pt idx="102">
                  <c:v>113.5</c:v>
                </c:pt>
                <c:pt idx="103">
                  <c:v>114.0</c:v>
                </c:pt>
                <c:pt idx="104">
                  <c:v>114.25</c:v>
                </c:pt>
                <c:pt idx="105">
                  <c:v>114.75</c:v>
                </c:pt>
                <c:pt idx="106">
                  <c:v>115.0</c:v>
                </c:pt>
                <c:pt idx="107">
                  <c:v>115.5</c:v>
                </c:pt>
                <c:pt idx="108">
                  <c:v>115.75</c:v>
                </c:pt>
                <c:pt idx="109">
                  <c:v>116.25</c:v>
                </c:pt>
                <c:pt idx="110">
                  <c:v>116.5</c:v>
                </c:pt>
                <c:pt idx="111">
                  <c:v>117.0</c:v>
                </c:pt>
                <c:pt idx="112">
                  <c:v>117.25</c:v>
                </c:pt>
                <c:pt idx="113">
                  <c:v>117.75</c:v>
                </c:pt>
                <c:pt idx="114">
                  <c:v>118.0</c:v>
                </c:pt>
                <c:pt idx="115">
                  <c:v>118.6</c:v>
                </c:pt>
                <c:pt idx="116">
                  <c:v>118.85</c:v>
                </c:pt>
                <c:pt idx="117">
                  <c:v>119.45</c:v>
                </c:pt>
                <c:pt idx="118">
                  <c:v>119.8</c:v>
                </c:pt>
                <c:pt idx="119">
                  <c:v>120.3</c:v>
                </c:pt>
                <c:pt idx="120">
                  <c:v>120.65</c:v>
                </c:pt>
                <c:pt idx="121">
                  <c:v>121.25</c:v>
                </c:pt>
                <c:pt idx="122">
                  <c:v>121.5</c:v>
                </c:pt>
                <c:pt idx="123">
                  <c:v>122.1</c:v>
                </c:pt>
                <c:pt idx="124">
                  <c:v>122.45</c:v>
                </c:pt>
                <c:pt idx="125">
                  <c:v>122.95</c:v>
                </c:pt>
                <c:pt idx="126">
                  <c:v>123.3</c:v>
                </c:pt>
                <c:pt idx="127">
                  <c:v>123.9</c:v>
                </c:pt>
                <c:pt idx="128">
                  <c:v>124.4</c:v>
                </c:pt>
                <c:pt idx="129">
                  <c:v>125.0</c:v>
                </c:pt>
                <c:pt idx="130">
                  <c:v>125.6</c:v>
                </c:pt>
                <c:pt idx="131">
                  <c:v>126.35</c:v>
                </c:pt>
                <c:pt idx="132">
                  <c:v>126.95</c:v>
                </c:pt>
                <c:pt idx="133">
                  <c:v>127.55</c:v>
                </c:pt>
                <c:pt idx="134">
                  <c:v>128.05</c:v>
                </c:pt>
                <c:pt idx="135">
                  <c:v>128.65</c:v>
                </c:pt>
                <c:pt idx="136">
                  <c:v>129.25</c:v>
                </c:pt>
                <c:pt idx="137">
                  <c:v>129.75</c:v>
                </c:pt>
                <c:pt idx="138">
                  <c:v>130.35</c:v>
                </c:pt>
                <c:pt idx="139">
                  <c:v>131.0</c:v>
                </c:pt>
                <c:pt idx="140">
                  <c:v>131.65</c:v>
                </c:pt>
                <c:pt idx="141">
                  <c:v>132.15</c:v>
                </c:pt>
                <c:pt idx="142">
                  <c:v>132.8</c:v>
                </c:pt>
                <c:pt idx="143">
                  <c:v>133.2</c:v>
                </c:pt>
                <c:pt idx="144">
                  <c:v>133.85</c:v>
                </c:pt>
                <c:pt idx="145">
                  <c:v>134.5</c:v>
                </c:pt>
                <c:pt idx="146">
                  <c:v>134.9</c:v>
                </c:pt>
                <c:pt idx="147">
                  <c:v>135.65</c:v>
                </c:pt>
                <c:pt idx="148">
                  <c:v>136.05</c:v>
                </c:pt>
                <c:pt idx="149">
                  <c:v>136.7</c:v>
                </c:pt>
                <c:pt idx="150">
                  <c:v>137.35</c:v>
                </c:pt>
                <c:pt idx="151">
                  <c:v>137.65</c:v>
                </c:pt>
                <c:pt idx="152">
                  <c:v>138.1</c:v>
                </c:pt>
                <c:pt idx="153">
                  <c:v>138.4</c:v>
                </c:pt>
                <c:pt idx="154">
                  <c:v>138.6</c:v>
                </c:pt>
                <c:pt idx="155">
                  <c:v>139.15</c:v>
                </c:pt>
                <c:pt idx="156">
                  <c:v>139.35</c:v>
                </c:pt>
                <c:pt idx="157">
                  <c:v>139.9</c:v>
                </c:pt>
                <c:pt idx="158">
                  <c:v>140.1</c:v>
                </c:pt>
                <c:pt idx="159">
                  <c:v>140.65</c:v>
                </c:pt>
                <c:pt idx="160">
                  <c:v>140.85</c:v>
                </c:pt>
                <c:pt idx="161">
                  <c:v>141.4</c:v>
                </c:pt>
                <c:pt idx="162">
                  <c:v>141.6</c:v>
                </c:pt>
                <c:pt idx="163">
                  <c:v>141.7</c:v>
                </c:pt>
                <c:pt idx="164">
                  <c:v>141.9</c:v>
                </c:pt>
                <c:pt idx="165">
                  <c:v>142.0</c:v>
                </c:pt>
                <c:pt idx="166">
                  <c:v>142.2</c:v>
                </c:pt>
                <c:pt idx="167">
                  <c:v>142.3</c:v>
                </c:pt>
                <c:pt idx="168">
                  <c:v>142.5</c:v>
                </c:pt>
                <c:pt idx="169">
                  <c:v>142.85</c:v>
                </c:pt>
                <c:pt idx="170">
                  <c:v>142.95</c:v>
                </c:pt>
                <c:pt idx="171">
                  <c:v>143.15</c:v>
                </c:pt>
                <c:pt idx="172">
                  <c:v>143.25</c:v>
                </c:pt>
                <c:pt idx="173">
                  <c:v>143.45</c:v>
                </c:pt>
                <c:pt idx="174">
                  <c:v>143.55</c:v>
                </c:pt>
                <c:pt idx="175">
                  <c:v>143.55</c:v>
                </c:pt>
                <c:pt idx="176">
                  <c:v>143.65</c:v>
                </c:pt>
                <c:pt idx="177">
                  <c:v>143.65</c:v>
                </c:pt>
                <c:pt idx="178">
                  <c:v>143.75</c:v>
                </c:pt>
                <c:pt idx="179">
                  <c:v>143.75</c:v>
                </c:pt>
                <c:pt idx="180">
                  <c:v>143.85</c:v>
                </c:pt>
                <c:pt idx="181">
                  <c:v>143.85</c:v>
                </c:pt>
                <c:pt idx="182">
                  <c:v>144.1</c:v>
                </c:pt>
                <c:pt idx="183">
                  <c:v>144.2</c:v>
                </c:pt>
                <c:pt idx="184">
                  <c:v>144.2</c:v>
                </c:pt>
                <c:pt idx="185">
                  <c:v>144.3</c:v>
                </c:pt>
                <c:pt idx="186">
                  <c:v>144.3</c:v>
                </c:pt>
                <c:pt idx="187">
                  <c:v>144.3</c:v>
                </c:pt>
                <c:pt idx="188">
                  <c:v>144.4</c:v>
                </c:pt>
                <c:pt idx="189">
                  <c:v>144.4</c:v>
                </c:pt>
                <c:pt idx="190">
                  <c:v>144.4</c:v>
                </c:pt>
                <c:pt idx="191">
                  <c:v>144.5</c:v>
                </c:pt>
                <c:pt idx="192">
                  <c:v>144.5</c:v>
                </c:pt>
                <c:pt idx="193">
                  <c:v>144.5</c:v>
                </c:pt>
                <c:pt idx="194">
                  <c:v>144.6</c:v>
                </c:pt>
                <c:pt idx="195">
                  <c:v>144.6</c:v>
                </c:pt>
                <c:pt idx="196">
                  <c:v>144.6</c:v>
                </c:pt>
                <c:pt idx="197">
                  <c:v>144.7</c:v>
                </c:pt>
                <c:pt idx="198">
                  <c:v>144.7</c:v>
                </c:pt>
                <c:pt idx="199">
                  <c:v>144.7</c:v>
                </c:pt>
                <c:pt idx="200">
                  <c:v>144.8</c:v>
                </c:pt>
                <c:pt idx="201">
                  <c:v>144.8</c:v>
                </c:pt>
                <c:pt idx="202">
                  <c:v>144.8</c:v>
                </c:pt>
                <c:pt idx="203">
                  <c:v>144.9</c:v>
                </c:pt>
                <c:pt idx="204">
                  <c:v>144.9</c:v>
                </c:pt>
                <c:pt idx="205">
                  <c:v>144.9</c:v>
                </c:pt>
                <c:pt idx="206">
                  <c:v>145.0</c:v>
                </c:pt>
                <c:pt idx="207">
                  <c:v>145.0</c:v>
                </c:pt>
                <c:pt idx="208">
                  <c:v>145.0</c:v>
                </c:pt>
                <c:pt idx="209">
                  <c:v>145.1</c:v>
                </c:pt>
                <c:pt idx="210">
                  <c:v>144.85</c:v>
                </c:pt>
              </c:numCache>
            </c:numRef>
          </c:yVal>
          <c:smooth val="0"/>
        </c:ser>
        <c:ser>
          <c:idx val="6"/>
          <c:order val="6"/>
          <c:tx>
            <c:strRef>
              <c:f>成長曲線_データ!$M$2</c:f>
              <c:strCache>
                <c:ptCount val="1"/>
                <c:pt idx="0">
                  <c:v>-3SD</c:v>
                </c:pt>
              </c:strCache>
            </c:strRef>
          </c:tx>
          <c:spPr>
            <a:ln w="12700">
              <a:solidFill>
                <a:sysClr val="windowText" lastClr="000000"/>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成長曲線_データ!$M$4:$M$214</c:f>
              <c:numCache>
                <c:formatCode>General</c:formatCode>
                <c:ptCount val="211"/>
                <c:pt idx="0">
                  <c:v>42.1</c:v>
                </c:pt>
                <c:pt idx="1">
                  <c:v>46.3</c:v>
                </c:pt>
                <c:pt idx="2">
                  <c:v>50.1</c:v>
                </c:pt>
                <c:pt idx="3">
                  <c:v>53.4</c:v>
                </c:pt>
                <c:pt idx="4">
                  <c:v>56.0</c:v>
                </c:pt>
                <c:pt idx="5">
                  <c:v>57.7</c:v>
                </c:pt>
                <c:pt idx="6">
                  <c:v>59.3</c:v>
                </c:pt>
                <c:pt idx="7">
                  <c:v>60.6</c:v>
                </c:pt>
                <c:pt idx="8">
                  <c:v>61.7</c:v>
                </c:pt>
                <c:pt idx="9">
                  <c:v>62.8</c:v>
                </c:pt>
                <c:pt idx="10">
                  <c:v>64.0</c:v>
                </c:pt>
                <c:pt idx="11">
                  <c:v>64.8</c:v>
                </c:pt>
                <c:pt idx="12">
                  <c:v>65.9</c:v>
                </c:pt>
                <c:pt idx="13">
                  <c:v>67.0</c:v>
                </c:pt>
                <c:pt idx="14">
                  <c:v>67.7</c:v>
                </c:pt>
                <c:pt idx="15">
                  <c:v>68.7</c:v>
                </c:pt>
                <c:pt idx="16">
                  <c:v>69.7</c:v>
                </c:pt>
                <c:pt idx="17">
                  <c:v>70.30000000000001</c:v>
                </c:pt>
                <c:pt idx="18">
                  <c:v>71.30000000000001</c:v>
                </c:pt>
                <c:pt idx="19">
                  <c:v>71.9</c:v>
                </c:pt>
                <c:pt idx="20">
                  <c:v>72.80000000000001</c:v>
                </c:pt>
                <c:pt idx="21">
                  <c:v>73.6</c:v>
                </c:pt>
                <c:pt idx="22">
                  <c:v>74.1</c:v>
                </c:pt>
                <c:pt idx="23">
                  <c:v>74.8</c:v>
                </c:pt>
                <c:pt idx="24">
                  <c:v>75.6</c:v>
                </c:pt>
                <c:pt idx="25">
                  <c:v>76.0</c:v>
                </c:pt>
                <c:pt idx="26">
                  <c:v>76.7</c:v>
                </c:pt>
                <c:pt idx="27">
                  <c:v>77.4</c:v>
                </c:pt>
                <c:pt idx="28">
                  <c:v>77.8</c:v>
                </c:pt>
                <c:pt idx="29">
                  <c:v>78.4</c:v>
                </c:pt>
                <c:pt idx="30">
                  <c:v>79.10000000000001</c:v>
                </c:pt>
                <c:pt idx="31">
                  <c:v>79.4</c:v>
                </c:pt>
                <c:pt idx="32">
                  <c:v>80.0</c:v>
                </c:pt>
                <c:pt idx="33">
                  <c:v>80.4</c:v>
                </c:pt>
                <c:pt idx="34">
                  <c:v>81.0</c:v>
                </c:pt>
                <c:pt idx="35">
                  <c:v>81.69999999999998</c:v>
                </c:pt>
                <c:pt idx="36">
                  <c:v>82.0</c:v>
                </c:pt>
                <c:pt idx="37">
                  <c:v>82.6</c:v>
                </c:pt>
                <c:pt idx="38">
                  <c:v>83.3</c:v>
                </c:pt>
                <c:pt idx="39">
                  <c:v>83.6</c:v>
                </c:pt>
                <c:pt idx="40">
                  <c:v>84.2</c:v>
                </c:pt>
                <c:pt idx="41">
                  <c:v>84.8</c:v>
                </c:pt>
                <c:pt idx="42">
                  <c:v>85.10000000000001</c:v>
                </c:pt>
                <c:pt idx="43">
                  <c:v>85.7</c:v>
                </c:pt>
                <c:pt idx="44">
                  <c:v>86.3</c:v>
                </c:pt>
                <c:pt idx="45">
                  <c:v>86.6</c:v>
                </c:pt>
                <c:pt idx="46">
                  <c:v>87.19999999999998</c:v>
                </c:pt>
                <c:pt idx="47">
                  <c:v>87.5</c:v>
                </c:pt>
                <c:pt idx="48">
                  <c:v>88.1</c:v>
                </c:pt>
                <c:pt idx="49">
                  <c:v>88.6</c:v>
                </c:pt>
                <c:pt idx="50">
                  <c:v>88.9</c:v>
                </c:pt>
                <c:pt idx="51">
                  <c:v>89.5</c:v>
                </c:pt>
                <c:pt idx="52">
                  <c:v>90.0</c:v>
                </c:pt>
                <c:pt idx="53">
                  <c:v>90.3</c:v>
                </c:pt>
                <c:pt idx="54">
                  <c:v>90.8</c:v>
                </c:pt>
                <c:pt idx="55">
                  <c:v>91.4</c:v>
                </c:pt>
                <c:pt idx="56">
                  <c:v>91.60000000000001</c:v>
                </c:pt>
                <c:pt idx="57">
                  <c:v>92.2</c:v>
                </c:pt>
                <c:pt idx="58">
                  <c:v>92.7</c:v>
                </c:pt>
                <c:pt idx="59">
                  <c:v>93.0</c:v>
                </c:pt>
                <c:pt idx="60">
                  <c:v>93.6</c:v>
                </c:pt>
                <c:pt idx="61">
                  <c:v>93.80000000000001</c:v>
                </c:pt>
                <c:pt idx="62">
                  <c:v>94.4</c:v>
                </c:pt>
                <c:pt idx="63">
                  <c:v>94.9</c:v>
                </c:pt>
                <c:pt idx="64">
                  <c:v>95.2</c:v>
                </c:pt>
                <c:pt idx="65">
                  <c:v>95.7</c:v>
                </c:pt>
                <c:pt idx="66">
                  <c:v>96.3</c:v>
                </c:pt>
                <c:pt idx="67">
                  <c:v>96.5</c:v>
                </c:pt>
                <c:pt idx="68">
                  <c:v>97.1</c:v>
                </c:pt>
                <c:pt idx="69">
                  <c:v>97.6</c:v>
                </c:pt>
                <c:pt idx="70">
                  <c:v>97.8</c:v>
                </c:pt>
                <c:pt idx="71">
                  <c:v>98.4</c:v>
                </c:pt>
                <c:pt idx="72">
                  <c:v>98.9</c:v>
                </c:pt>
                <c:pt idx="73">
                  <c:v>99.19999999999998</c:v>
                </c:pt>
                <c:pt idx="74">
                  <c:v>99.69999999999998</c:v>
                </c:pt>
                <c:pt idx="75">
                  <c:v>100.3</c:v>
                </c:pt>
                <c:pt idx="76">
                  <c:v>100.5</c:v>
                </c:pt>
                <c:pt idx="77">
                  <c:v>100.8</c:v>
                </c:pt>
                <c:pt idx="78">
                  <c:v>101.1</c:v>
                </c:pt>
                <c:pt idx="79">
                  <c:v>101.6</c:v>
                </c:pt>
                <c:pt idx="80">
                  <c:v>102.1</c:v>
                </c:pt>
                <c:pt idx="81">
                  <c:v>102.6</c:v>
                </c:pt>
                <c:pt idx="82">
                  <c:v>102.8</c:v>
                </c:pt>
                <c:pt idx="83">
                  <c:v>103.3</c:v>
                </c:pt>
                <c:pt idx="84">
                  <c:v>103.8</c:v>
                </c:pt>
                <c:pt idx="85">
                  <c:v>104.2</c:v>
                </c:pt>
                <c:pt idx="86">
                  <c:v>104.7</c:v>
                </c:pt>
                <c:pt idx="87">
                  <c:v>104.9</c:v>
                </c:pt>
                <c:pt idx="88">
                  <c:v>105.4</c:v>
                </c:pt>
                <c:pt idx="89">
                  <c:v>105.9</c:v>
                </c:pt>
                <c:pt idx="90">
                  <c:v>106.4</c:v>
                </c:pt>
                <c:pt idx="91">
                  <c:v>106.6</c:v>
                </c:pt>
                <c:pt idx="92">
                  <c:v>107.1</c:v>
                </c:pt>
                <c:pt idx="93">
                  <c:v>107.6</c:v>
                </c:pt>
                <c:pt idx="94">
                  <c:v>107.7</c:v>
                </c:pt>
                <c:pt idx="95">
                  <c:v>108.2</c:v>
                </c:pt>
                <c:pt idx="96">
                  <c:v>108.4</c:v>
                </c:pt>
                <c:pt idx="97">
                  <c:v>108.9</c:v>
                </c:pt>
                <c:pt idx="98">
                  <c:v>109.4</c:v>
                </c:pt>
                <c:pt idx="99">
                  <c:v>109.6</c:v>
                </c:pt>
                <c:pt idx="100">
                  <c:v>110.0</c:v>
                </c:pt>
                <c:pt idx="101">
                  <c:v>110.5</c:v>
                </c:pt>
                <c:pt idx="102">
                  <c:v>110.7</c:v>
                </c:pt>
                <c:pt idx="103">
                  <c:v>111.2</c:v>
                </c:pt>
                <c:pt idx="104">
                  <c:v>111.4</c:v>
                </c:pt>
                <c:pt idx="105">
                  <c:v>111.9</c:v>
                </c:pt>
                <c:pt idx="106">
                  <c:v>112.1</c:v>
                </c:pt>
                <c:pt idx="107">
                  <c:v>112.6</c:v>
                </c:pt>
                <c:pt idx="108">
                  <c:v>112.8</c:v>
                </c:pt>
                <c:pt idx="109">
                  <c:v>113.3</c:v>
                </c:pt>
                <c:pt idx="110">
                  <c:v>113.5</c:v>
                </c:pt>
                <c:pt idx="111">
                  <c:v>114.0</c:v>
                </c:pt>
                <c:pt idx="112">
                  <c:v>114.2</c:v>
                </c:pt>
                <c:pt idx="113">
                  <c:v>114.7</c:v>
                </c:pt>
                <c:pt idx="114">
                  <c:v>114.9</c:v>
                </c:pt>
                <c:pt idx="115">
                  <c:v>115.5</c:v>
                </c:pt>
                <c:pt idx="116">
                  <c:v>115.7</c:v>
                </c:pt>
                <c:pt idx="117">
                  <c:v>116.3</c:v>
                </c:pt>
                <c:pt idx="118">
                  <c:v>116.6</c:v>
                </c:pt>
                <c:pt idx="119">
                  <c:v>117.1</c:v>
                </c:pt>
                <c:pt idx="120">
                  <c:v>117.4</c:v>
                </c:pt>
                <c:pt idx="121">
                  <c:v>118.0</c:v>
                </c:pt>
                <c:pt idx="122">
                  <c:v>118.2</c:v>
                </c:pt>
                <c:pt idx="123">
                  <c:v>118.8</c:v>
                </c:pt>
                <c:pt idx="124">
                  <c:v>119.1</c:v>
                </c:pt>
                <c:pt idx="125">
                  <c:v>119.6</c:v>
                </c:pt>
                <c:pt idx="126">
                  <c:v>119.9</c:v>
                </c:pt>
                <c:pt idx="127">
                  <c:v>120.5</c:v>
                </c:pt>
                <c:pt idx="128">
                  <c:v>121.0</c:v>
                </c:pt>
                <c:pt idx="129">
                  <c:v>121.6</c:v>
                </c:pt>
                <c:pt idx="130">
                  <c:v>122.2</c:v>
                </c:pt>
                <c:pt idx="131">
                  <c:v>123.0</c:v>
                </c:pt>
                <c:pt idx="132">
                  <c:v>123.6</c:v>
                </c:pt>
                <c:pt idx="133">
                  <c:v>124.2</c:v>
                </c:pt>
                <c:pt idx="134">
                  <c:v>124.7</c:v>
                </c:pt>
                <c:pt idx="135">
                  <c:v>125.3</c:v>
                </c:pt>
                <c:pt idx="136">
                  <c:v>125.9</c:v>
                </c:pt>
                <c:pt idx="137">
                  <c:v>126.4</c:v>
                </c:pt>
                <c:pt idx="138">
                  <c:v>127.0</c:v>
                </c:pt>
                <c:pt idx="139">
                  <c:v>127.7</c:v>
                </c:pt>
                <c:pt idx="140">
                  <c:v>128.4</c:v>
                </c:pt>
                <c:pt idx="141">
                  <c:v>128.9</c:v>
                </c:pt>
                <c:pt idx="142">
                  <c:v>129.6</c:v>
                </c:pt>
                <c:pt idx="143">
                  <c:v>130.0</c:v>
                </c:pt>
                <c:pt idx="144">
                  <c:v>130.7</c:v>
                </c:pt>
                <c:pt idx="145">
                  <c:v>131.4</c:v>
                </c:pt>
                <c:pt idx="146">
                  <c:v>131.8</c:v>
                </c:pt>
                <c:pt idx="147">
                  <c:v>132.6</c:v>
                </c:pt>
                <c:pt idx="148">
                  <c:v>133.0</c:v>
                </c:pt>
                <c:pt idx="149">
                  <c:v>133.7</c:v>
                </c:pt>
                <c:pt idx="150">
                  <c:v>134.4</c:v>
                </c:pt>
                <c:pt idx="151">
                  <c:v>134.7</c:v>
                </c:pt>
                <c:pt idx="152">
                  <c:v>135.2</c:v>
                </c:pt>
                <c:pt idx="153">
                  <c:v>135.5</c:v>
                </c:pt>
                <c:pt idx="154">
                  <c:v>135.7</c:v>
                </c:pt>
                <c:pt idx="155">
                  <c:v>136.3</c:v>
                </c:pt>
                <c:pt idx="156">
                  <c:v>136.5</c:v>
                </c:pt>
                <c:pt idx="157">
                  <c:v>137.1</c:v>
                </c:pt>
                <c:pt idx="158">
                  <c:v>137.3</c:v>
                </c:pt>
                <c:pt idx="159">
                  <c:v>137.9</c:v>
                </c:pt>
                <c:pt idx="160">
                  <c:v>138.1</c:v>
                </c:pt>
                <c:pt idx="161">
                  <c:v>138.7</c:v>
                </c:pt>
                <c:pt idx="162">
                  <c:v>138.9</c:v>
                </c:pt>
                <c:pt idx="163">
                  <c:v>139.0</c:v>
                </c:pt>
                <c:pt idx="164">
                  <c:v>139.2</c:v>
                </c:pt>
                <c:pt idx="165">
                  <c:v>139.3</c:v>
                </c:pt>
                <c:pt idx="166">
                  <c:v>139.5</c:v>
                </c:pt>
                <c:pt idx="167">
                  <c:v>139.6</c:v>
                </c:pt>
                <c:pt idx="168">
                  <c:v>139.8</c:v>
                </c:pt>
                <c:pt idx="169">
                  <c:v>140.2</c:v>
                </c:pt>
                <c:pt idx="170">
                  <c:v>140.3</c:v>
                </c:pt>
                <c:pt idx="171">
                  <c:v>140.5</c:v>
                </c:pt>
                <c:pt idx="172">
                  <c:v>140.6</c:v>
                </c:pt>
                <c:pt idx="173">
                  <c:v>140.8</c:v>
                </c:pt>
                <c:pt idx="174">
                  <c:v>140.9</c:v>
                </c:pt>
                <c:pt idx="175">
                  <c:v>140.9</c:v>
                </c:pt>
                <c:pt idx="176">
                  <c:v>141.0</c:v>
                </c:pt>
                <c:pt idx="177">
                  <c:v>141.0</c:v>
                </c:pt>
                <c:pt idx="178">
                  <c:v>141.1</c:v>
                </c:pt>
                <c:pt idx="179">
                  <c:v>141.1</c:v>
                </c:pt>
                <c:pt idx="180">
                  <c:v>141.2</c:v>
                </c:pt>
                <c:pt idx="181">
                  <c:v>141.2</c:v>
                </c:pt>
                <c:pt idx="182">
                  <c:v>141.5</c:v>
                </c:pt>
                <c:pt idx="183">
                  <c:v>141.6</c:v>
                </c:pt>
                <c:pt idx="184">
                  <c:v>141.6</c:v>
                </c:pt>
                <c:pt idx="185">
                  <c:v>141.7</c:v>
                </c:pt>
                <c:pt idx="186">
                  <c:v>141.7</c:v>
                </c:pt>
                <c:pt idx="187">
                  <c:v>141.7</c:v>
                </c:pt>
                <c:pt idx="188">
                  <c:v>141.8</c:v>
                </c:pt>
                <c:pt idx="189">
                  <c:v>141.8</c:v>
                </c:pt>
                <c:pt idx="190">
                  <c:v>141.8</c:v>
                </c:pt>
                <c:pt idx="191">
                  <c:v>141.9</c:v>
                </c:pt>
                <c:pt idx="192">
                  <c:v>141.9</c:v>
                </c:pt>
                <c:pt idx="193">
                  <c:v>141.9</c:v>
                </c:pt>
                <c:pt idx="194">
                  <c:v>142.0</c:v>
                </c:pt>
                <c:pt idx="195">
                  <c:v>142.0</c:v>
                </c:pt>
                <c:pt idx="196">
                  <c:v>142.0</c:v>
                </c:pt>
                <c:pt idx="197">
                  <c:v>142.1</c:v>
                </c:pt>
                <c:pt idx="198">
                  <c:v>142.1</c:v>
                </c:pt>
                <c:pt idx="199">
                  <c:v>142.1</c:v>
                </c:pt>
                <c:pt idx="200">
                  <c:v>142.2</c:v>
                </c:pt>
                <c:pt idx="201">
                  <c:v>142.2</c:v>
                </c:pt>
                <c:pt idx="202">
                  <c:v>142.2</c:v>
                </c:pt>
                <c:pt idx="203">
                  <c:v>142.3</c:v>
                </c:pt>
                <c:pt idx="204">
                  <c:v>142.3</c:v>
                </c:pt>
                <c:pt idx="205">
                  <c:v>142.3</c:v>
                </c:pt>
                <c:pt idx="206">
                  <c:v>142.4</c:v>
                </c:pt>
                <c:pt idx="207">
                  <c:v>142.4</c:v>
                </c:pt>
                <c:pt idx="208">
                  <c:v>142.4</c:v>
                </c:pt>
                <c:pt idx="209">
                  <c:v>142.5</c:v>
                </c:pt>
                <c:pt idx="210">
                  <c:v>142.2</c:v>
                </c:pt>
              </c:numCache>
            </c:numRef>
          </c:yVal>
          <c:smooth val="0"/>
        </c:ser>
        <c:ser>
          <c:idx val="12"/>
          <c:order val="12"/>
          <c:tx>
            <c:strRef>
              <c:f>入力!$V$10</c:f>
              <c:strCache>
                <c:ptCount val="1"/>
                <c:pt idx="0">
                  <c:v> 身長</c:v>
                </c:pt>
              </c:strCache>
            </c:strRef>
          </c:tx>
          <c:spPr>
            <a:ln>
              <a:noFill/>
            </a:ln>
          </c:spPr>
          <c:marker>
            <c:symbol val="circle"/>
            <c:size val="8"/>
            <c:spPr>
              <a:solidFill>
                <a:srgbClr val="FF0000"/>
              </a:solidFill>
              <a:ln w="19050">
                <a:solidFill>
                  <a:sysClr val="window" lastClr="FFFFFF"/>
                </a:solidFill>
              </a:ln>
            </c:spPr>
          </c:marker>
          <c:xVal>
            <c:numRef>
              <c:f>入力!$W$7:$W$156</c:f>
              <c:numCache>
                <c:formatCode>0.00_);[Red]\(0.00\)</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入力!$B$7:$B$156</c:f>
              <c:numCache>
                <c:formatCode>General</c:formatCode>
                <c:ptCount val="150"/>
              </c:numCache>
            </c:numRef>
          </c:yVal>
          <c:smooth val="0"/>
        </c:ser>
        <c:dLbls>
          <c:showLegendKey val="0"/>
          <c:showVal val="0"/>
          <c:showCatName val="0"/>
          <c:showSerName val="0"/>
          <c:showPercent val="0"/>
          <c:showBubbleSize val="0"/>
        </c:dLbls>
        <c:axId val="-882264048"/>
        <c:axId val="-882784576"/>
      </c:scatterChart>
      <c:scatterChart>
        <c:scatterStyle val="lineMarker"/>
        <c:varyColors val="0"/>
        <c:ser>
          <c:idx val="7"/>
          <c:order val="7"/>
          <c:tx>
            <c:strRef>
              <c:f>成長曲線_データ!$O$2</c:f>
              <c:strCache>
                <c:ptCount val="1"/>
                <c:pt idx="0">
                  <c:v>平均体重</c:v>
                </c:pt>
              </c:strCache>
            </c:strRef>
          </c:tx>
          <c:spPr>
            <a:ln>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成長曲線_データ!$O$4:$O$214</c:f>
              <c:numCache>
                <c:formatCode>General</c:formatCode>
                <c:ptCount val="211"/>
                <c:pt idx="0">
                  <c:v>3.0</c:v>
                </c:pt>
                <c:pt idx="1">
                  <c:v>4.1</c:v>
                </c:pt>
                <c:pt idx="2">
                  <c:v>5.2</c:v>
                </c:pt>
                <c:pt idx="3">
                  <c:v>6.0</c:v>
                </c:pt>
                <c:pt idx="4">
                  <c:v>6.6</c:v>
                </c:pt>
                <c:pt idx="5">
                  <c:v>7.0</c:v>
                </c:pt>
                <c:pt idx="6">
                  <c:v>7.5</c:v>
                </c:pt>
                <c:pt idx="7">
                  <c:v>7.8</c:v>
                </c:pt>
                <c:pt idx="8">
                  <c:v>8.0</c:v>
                </c:pt>
                <c:pt idx="9">
                  <c:v>8.2</c:v>
                </c:pt>
                <c:pt idx="10">
                  <c:v>8.5</c:v>
                </c:pt>
                <c:pt idx="11">
                  <c:v>8.6</c:v>
                </c:pt>
                <c:pt idx="12">
                  <c:v>8.7</c:v>
                </c:pt>
                <c:pt idx="13">
                  <c:v>9.0</c:v>
                </c:pt>
                <c:pt idx="14">
                  <c:v>9.2</c:v>
                </c:pt>
                <c:pt idx="15">
                  <c:v>9.3</c:v>
                </c:pt>
                <c:pt idx="16">
                  <c:v>9.5</c:v>
                </c:pt>
                <c:pt idx="17">
                  <c:v>9.7</c:v>
                </c:pt>
                <c:pt idx="18">
                  <c:v>9.9</c:v>
                </c:pt>
                <c:pt idx="19">
                  <c:v>10.2</c:v>
                </c:pt>
                <c:pt idx="20">
                  <c:v>10.4</c:v>
                </c:pt>
                <c:pt idx="21">
                  <c:v>10.4</c:v>
                </c:pt>
                <c:pt idx="22">
                  <c:v>10.7</c:v>
                </c:pt>
                <c:pt idx="23">
                  <c:v>11.0</c:v>
                </c:pt>
                <c:pt idx="24">
                  <c:v>11.0</c:v>
                </c:pt>
                <c:pt idx="25">
                  <c:v>11.2</c:v>
                </c:pt>
                <c:pt idx="26">
                  <c:v>11.4</c:v>
                </c:pt>
                <c:pt idx="27">
                  <c:v>11.5</c:v>
                </c:pt>
                <c:pt idx="28">
                  <c:v>11.8</c:v>
                </c:pt>
                <c:pt idx="29">
                  <c:v>12.0</c:v>
                </c:pt>
                <c:pt idx="30">
                  <c:v>12.2</c:v>
                </c:pt>
                <c:pt idx="31">
                  <c:v>12.3</c:v>
                </c:pt>
                <c:pt idx="32">
                  <c:v>12.5</c:v>
                </c:pt>
                <c:pt idx="33">
                  <c:v>12.7</c:v>
                </c:pt>
                <c:pt idx="34">
                  <c:v>12.8</c:v>
                </c:pt>
                <c:pt idx="35">
                  <c:v>13.0</c:v>
                </c:pt>
                <c:pt idx="36">
                  <c:v>13.1</c:v>
                </c:pt>
                <c:pt idx="37">
                  <c:v>13.3</c:v>
                </c:pt>
                <c:pt idx="38">
                  <c:v>13.4</c:v>
                </c:pt>
                <c:pt idx="39">
                  <c:v>13.6</c:v>
                </c:pt>
                <c:pt idx="40">
                  <c:v>13.8</c:v>
                </c:pt>
                <c:pt idx="41">
                  <c:v>13.9</c:v>
                </c:pt>
                <c:pt idx="42">
                  <c:v>14.1</c:v>
                </c:pt>
                <c:pt idx="43">
                  <c:v>14.3</c:v>
                </c:pt>
                <c:pt idx="44">
                  <c:v>14.4</c:v>
                </c:pt>
                <c:pt idx="45">
                  <c:v>14.6</c:v>
                </c:pt>
                <c:pt idx="46">
                  <c:v>14.8</c:v>
                </c:pt>
                <c:pt idx="47">
                  <c:v>15.0</c:v>
                </c:pt>
                <c:pt idx="48">
                  <c:v>15.2</c:v>
                </c:pt>
                <c:pt idx="49">
                  <c:v>15.4</c:v>
                </c:pt>
                <c:pt idx="50">
                  <c:v>15.6</c:v>
                </c:pt>
                <c:pt idx="51">
                  <c:v>15.8</c:v>
                </c:pt>
                <c:pt idx="52">
                  <c:v>15.9</c:v>
                </c:pt>
                <c:pt idx="53">
                  <c:v>16.1</c:v>
                </c:pt>
                <c:pt idx="54">
                  <c:v>16.3</c:v>
                </c:pt>
                <c:pt idx="55">
                  <c:v>16.4</c:v>
                </c:pt>
                <c:pt idx="56">
                  <c:v>16.6</c:v>
                </c:pt>
                <c:pt idx="57">
                  <c:v>16.8</c:v>
                </c:pt>
                <c:pt idx="58">
                  <c:v>17.0</c:v>
                </c:pt>
                <c:pt idx="59">
                  <c:v>17.2</c:v>
                </c:pt>
                <c:pt idx="60">
                  <c:v>17.4</c:v>
                </c:pt>
                <c:pt idx="61">
                  <c:v>17.6</c:v>
                </c:pt>
                <c:pt idx="62">
                  <c:v>17.8</c:v>
                </c:pt>
                <c:pt idx="63">
                  <c:v>18.0</c:v>
                </c:pt>
                <c:pt idx="64">
                  <c:v>18.1</c:v>
                </c:pt>
                <c:pt idx="65">
                  <c:v>18.2</c:v>
                </c:pt>
                <c:pt idx="66">
                  <c:v>18.4</c:v>
                </c:pt>
                <c:pt idx="67">
                  <c:v>18.5</c:v>
                </c:pt>
                <c:pt idx="68">
                  <c:v>18.6</c:v>
                </c:pt>
                <c:pt idx="69">
                  <c:v>18.7</c:v>
                </c:pt>
                <c:pt idx="70">
                  <c:v>19.0</c:v>
                </c:pt>
                <c:pt idx="71">
                  <c:v>19.3</c:v>
                </c:pt>
                <c:pt idx="72">
                  <c:v>19.6</c:v>
                </c:pt>
                <c:pt idx="73">
                  <c:v>19.9</c:v>
                </c:pt>
                <c:pt idx="74">
                  <c:v>20.2</c:v>
                </c:pt>
                <c:pt idx="75">
                  <c:v>20.4</c:v>
                </c:pt>
                <c:pt idx="76">
                  <c:v>20.7</c:v>
                </c:pt>
                <c:pt idx="77">
                  <c:v>21.0</c:v>
                </c:pt>
                <c:pt idx="78">
                  <c:v>21.3</c:v>
                </c:pt>
                <c:pt idx="79">
                  <c:v>21.5</c:v>
                </c:pt>
                <c:pt idx="80">
                  <c:v>21.7</c:v>
                </c:pt>
                <c:pt idx="81">
                  <c:v>21.9</c:v>
                </c:pt>
                <c:pt idx="82">
                  <c:v>22.1</c:v>
                </c:pt>
                <c:pt idx="83">
                  <c:v>22.3</c:v>
                </c:pt>
                <c:pt idx="84">
                  <c:v>22.5</c:v>
                </c:pt>
                <c:pt idx="85">
                  <c:v>22.8</c:v>
                </c:pt>
                <c:pt idx="86">
                  <c:v>23.0</c:v>
                </c:pt>
                <c:pt idx="87">
                  <c:v>23.2</c:v>
                </c:pt>
                <c:pt idx="88">
                  <c:v>23.4</c:v>
                </c:pt>
                <c:pt idx="89">
                  <c:v>23.6</c:v>
                </c:pt>
                <c:pt idx="90">
                  <c:v>23.8</c:v>
                </c:pt>
                <c:pt idx="91">
                  <c:v>24.1</c:v>
                </c:pt>
                <c:pt idx="92">
                  <c:v>24.3</c:v>
                </c:pt>
                <c:pt idx="93">
                  <c:v>24.6</c:v>
                </c:pt>
                <c:pt idx="94">
                  <c:v>24.9</c:v>
                </c:pt>
                <c:pt idx="95">
                  <c:v>25.1</c:v>
                </c:pt>
                <c:pt idx="96">
                  <c:v>25.4</c:v>
                </c:pt>
                <c:pt idx="97">
                  <c:v>25.7</c:v>
                </c:pt>
                <c:pt idx="98">
                  <c:v>25.9</c:v>
                </c:pt>
                <c:pt idx="99">
                  <c:v>26.2</c:v>
                </c:pt>
                <c:pt idx="100">
                  <c:v>26.5</c:v>
                </c:pt>
                <c:pt idx="101">
                  <c:v>26.7</c:v>
                </c:pt>
                <c:pt idx="102">
                  <c:v>27.0</c:v>
                </c:pt>
                <c:pt idx="103">
                  <c:v>27.3</c:v>
                </c:pt>
                <c:pt idx="104">
                  <c:v>27.6</c:v>
                </c:pt>
                <c:pt idx="105">
                  <c:v>27.9</c:v>
                </c:pt>
                <c:pt idx="106">
                  <c:v>28.2</c:v>
                </c:pt>
                <c:pt idx="107">
                  <c:v>28.5</c:v>
                </c:pt>
                <c:pt idx="108">
                  <c:v>28.9</c:v>
                </c:pt>
                <c:pt idx="109">
                  <c:v>29.2</c:v>
                </c:pt>
                <c:pt idx="110">
                  <c:v>29.5</c:v>
                </c:pt>
                <c:pt idx="111">
                  <c:v>29.8</c:v>
                </c:pt>
                <c:pt idx="112">
                  <c:v>30.1</c:v>
                </c:pt>
                <c:pt idx="113">
                  <c:v>30.4</c:v>
                </c:pt>
                <c:pt idx="114">
                  <c:v>30.7</c:v>
                </c:pt>
                <c:pt idx="115">
                  <c:v>31.1</c:v>
                </c:pt>
                <c:pt idx="116">
                  <c:v>31.4</c:v>
                </c:pt>
                <c:pt idx="117">
                  <c:v>31.8</c:v>
                </c:pt>
                <c:pt idx="118">
                  <c:v>32.1</c:v>
                </c:pt>
                <c:pt idx="119">
                  <c:v>32.5</c:v>
                </c:pt>
                <c:pt idx="120">
                  <c:v>32.8</c:v>
                </c:pt>
                <c:pt idx="121">
                  <c:v>33.2</c:v>
                </c:pt>
                <c:pt idx="122">
                  <c:v>33.5</c:v>
                </c:pt>
                <c:pt idx="123">
                  <c:v>33.9</c:v>
                </c:pt>
                <c:pt idx="124">
                  <c:v>34.2</c:v>
                </c:pt>
                <c:pt idx="125">
                  <c:v>34.6</c:v>
                </c:pt>
                <c:pt idx="126">
                  <c:v>34.9</c:v>
                </c:pt>
                <c:pt idx="127">
                  <c:v>35.3</c:v>
                </c:pt>
                <c:pt idx="128">
                  <c:v>35.8</c:v>
                </c:pt>
                <c:pt idx="129">
                  <c:v>36.2</c:v>
                </c:pt>
                <c:pt idx="130">
                  <c:v>36.6</c:v>
                </c:pt>
                <c:pt idx="131">
                  <c:v>37.1</c:v>
                </c:pt>
                <c:pt idx="132">
                  <c:v>37.5</c:v>
                </c:pt>
                <c:pt idx="133">
                  <c:v>37.9</c:v>
                </c:pt>
                <c:pt idx="134">
                  <c:v>38.4</c:v>
                </c:pt>
                <c:pt idx="135">
                  <c:v>38.8</c:v>
                </c:pt>
                <c:pt idx="136">
                  <c:v>39.2</c:v>
                </c:pt>
                <c:pt idx="137">
                  <c:v>39.7</c:v>
                </c:pt>
                <c:pt idx="138">
                  <c:v>40.1</c:v>
                </c:pt>
                <c:pt idx="139">
                  <c:v>40.5</c:v>
                </c:pt>
                <c:pt idx="140">
                  <c:v>40.9</c:v>
                </c:pt>
                <c:pt idx="141">
                  <c:v>41.3</c:v>
                </c:pt>
                <c:pt idx="142">
                  <c:v>41.7</c:v>
                </c:pt>
                <c:pt idx="143">
                  <c:v>42.1</c:v>
                </c:pt>
                <c:pt idx="144">
                  <c:v>42.6</c:v>
                </c:pt>
                <c:pt idx="145">
                  <c:v>43.0</c:v>
                </c:pt>
                <c:pt idx="146">
                  <c:v>43.4</c:v>
                </c:pt>
                <c:pt idx="147">
                  <c:v>43.8</c:v>
                </c:pt>
                <c:pt idx="148">
                  <c:v>44.2</c:v>
                </c:pt>
                <c:pt idx="149">
                  <c:v>44.6</c:v>
                </c:pt>
                <c:pt idx="150">
                  <c:v>45.0</c:v>
                </c:pt>
                <c:pt idx="151">
                  <c:v>45.3</c:v>
                </c:pt>
                <c:pt idx="152">
                  <c:v>45.6</c:v>
                </c:pt>
                <c:pt idx="153">
                  <c:v>45.8</c:v>
                </c:pt>
                <c:pt idx="154">
                  <c:v>46.1</c:v>
                </c:pt>
                <c:pt idx="155">
                  <c:v>46.4</c:v>
                </c:pt>
                <c:pt idx="156">
                  <c:v>46.7</c:v>
                </c:pt>
                <c:pt idx="157">
                  <c:v>46.9</c:v>
                </c:pt>
                <c:pt idx="158">
                  <c:v>47.2</c:v>
                </c:pt>
                <c:pt idx="159">
                  <c:v>47.5</c:v>
                </c:pt>
                <c:pt idx="160">
                  <c:v>47.8</c:v>
                </c:pt>
                <c:pt idx="161">
                  <c:v>48.0</c:v>
                </c:pt>
                <c:pt idx="162">
                  <c:v>48.3</c:v>
                </c:pt>
                <c:pt idx="163">
                  <c:v>48.7</c:v>
                </c:pt>
                <c:pt idx="164">
                  <c:v>48.9</c:v>
                </c:pt>
                <c:pt idx="165">
                  <c:v>48.9</c:v>
                </c:pt>
                <c:pt idx="166">
                  <c:v>49.1</c:v>
                </c:pt>
                <c:pt idx="167">
                  <c:v>49.3</c:v>
                </c:pt>
                <c:pt idx="168">
                  <c:v>49.5</c:v>
                </c:pt>
                <c:pt idx="169">
                  <c:v>49.7</c:v>
                </c:pt>
                <c:pt idx="170">
                  <c:v>49.9</c:v>
                </c:pt>
                <c:pt idx="171">
                  <c:v>50.1</c:v>
                </c:pt>
                <c:pt idx="172">
                  <c:v>50.3</c:v>
                </c:pt>
                <c:pt idx="173">
                  <c:v>50.5</c:v>
                </c:pt>
                <c:pt idx="174">
                  <c:v>50.7</c:v>
                </c:pt>
                <c:pt idx="175">
                  <c:v>50.8</c:v>
                </c:pt>
                <c:pt idx="176">
                  <c:v>50.9</c:v>
                </c:pt>
                <c:pt idx="177">
                  <c:v>51.1</c:v>
                </c:pt>
                <c:pt idx="178">
                  <c:v>51.2</c:v>
                </c:pt>
                <c:pt idx="179">
                  <c:v>51.3</c:v>
                </c:pt>
                <c:pt idx="180">
                  <c:v>51.4</c:v>
                </c:pt>
                <c:pt idx="181">
                  <c:v>51.5</c:v>
                </c:pt>
                <c:pt idx="182">
                  <c:v>51.6</c:v>
                </c:pt>
                <c:pt idx="183">
                  <c:v>51.8</c:v>
                </c:pt>
                <c:pt idx="184">
                  <c:v>51.9</c:v>
                </c:pt>
                <c:pt idx="185">
                  <c:v>52.0</c:v>
                </c:pt>
                <c:pt idx="186">
                  <c:v>52.1</c:v>
                </c:pt>
                <c:pt idx="187">
                  <c:v>52.2</c:v>
                </c:pt>
                <c:pt idx="188">
                  <c:v>52.3</c:v>
                </c:pt>
                <c:pt idx="189">
                  <c:v>52.3</c:v>
                </c:pt>
                <c:pt idx="190">
                  <c:v>52.4</c:v>
                </c:pt>
                <c:pt idx="191">
                  <c:v>52.5</c:v>
                </c:pt>
                <c:pt idx="192">
                  <c:v>52.6</c:v>
                </c:pt>
                <c:pt idx="193">
                  <c:v>52.6</c:v>
                </c:pt>
                <c:pt idx="194">
                  <c:v>52.7</c:v>
                </c:pt>
                <c:pt idx="195">
                  <c:v>52.8</c:v>
                </c:pt>
                <c:pt idx="196">
                  <c:v>52.9</c:v>
                </c:pt>
                <c:pt idx="197">
                  <c:v>52.9</c:v>
                </c:pt>
                <c:pt idx="198">
                  <c:v>53.0</c:v>
                </c:pt>
                <c:pt idx="199">
                  <c:v>53.0</c:v>
                </c:pt>
                <c:pt idx="200">
                  <c:v>53.0</c:v>
                </c:pt>
                <c:pt idx="201">
                  <c:v>53.0</c:v>
                </c:pt>
                <c:pt idx="202">
                  <c:v>53.0</c:v>
                </c:pt>
                <c:pt idx="203">
                  <c:v>53.0</c:v>
                </c:pt>
                <c:pt idx="204">
                  <c:v>53.1</c:v>
                </c:pt>
                <c:pt idx="205">
                  <c:v>53.1</c:v>
                </c:pt>
                <c:pt idx="206">
                  <c:v>53.1</c:v>
                </c:pt>
                <c:pt idx="207">
                  <c:v>53.1</c:v>
                </c:pt>
                <c:pt idx="208">
                  <c:v>53.1</c:v>
                </c:pt>
                <c:pt idx="209">
                  <c:v>53.1</c:v>
                </c:pt>
                <c:pt idx="210">
                  <c:v>53.1</c:v>
                </c:pt>
              </c:numCache>
            </c:numRef>
          </c:yVal>
          <c:smooth val="0"/>
        </c:ser>
        <c:ser>
          <c:idx val="8"/>
          <c:order val="8"/>
          <c:tx>
            <c:strRef>
              <c:f>成長曲線_データ!$Q$2</c:f>
              <c:strCache>
                <c:ptCount val="1"/>
                <c:pt idx="0">
                  <c:v>+2SD</c:v>
                </c:pt>
              </c:strCache>
            </c:strRef>
          </c:tx>
          <c:spPr>
            <a:ln w="12700">
              <a:solidFill>
                <a:sysClr val="windowText" lastClr="000000"/>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成長曲線_データ!$Q$4:$Q$214</c:f>
              <c:numCache>
                <c:formatCode>General</c:formatCode>
                <c:ptCount val="211"/>
                <c:pt idx="0">
                  <c:v>3.8</c:v>
                </c:pt>
                <c:pt idx="1">
                  <c:v>5.119999999999999</c:v>
                </c:pt>
                <c:pt idx="2">
                  <c:v>6.4</c:v>
                </c:pt>
                <c:pt idx="3">
                  <c:v>7.32</c:v>
                </c:pt>
                <c:pt idx="4">
                  <c:v>8.1</c:v>
                </c:pt>
                <c:pt idx="5">
                  <c:v>8.66</c:v>
                </c:pt>
                <c:pt idx="6">
                  <c:v>9.08</c:v>
                </c:pt>
                <c:pt idx="7">
                  <c:v>9.4</c:v>
                </c:pt>
                <c:pt idx="8">
                  <c:v>9.76</c:v>
                </c:pt>
                <c:pt idx="9">
                  <c:v>10.0</c:v>
                </c:pt>
                <c:pt idx="10">
                  <c:v>10.24</c:v>
                </c:pt>
                <c:pt idx="11">
                  <c:v>10.42</c:v>
                </c:pt>
                <c:pt idx="12">
                  <c:v>10.62</c:v>
                </c:pt>
                <c:pt idx="13">
                  <c:v>10.8</c:v>
                </c:pt>
                <c:pt idx="14">
                  <c:v>11.08</c:v>
                </c:pt>
                <c:pt idx="15">
                  <c:v>11.22</c:v>
                </c:pt>
                <c:pt idx="16">
                  <c:v>11.36</c:v>
                </c:pt>
                <c:pt idx="17">
                  <c:v>11.68</c:v>
                </c:pt>
                <c:pt idx="18">
                  <c:v>11.96</c:v>
                </c:pt>
                <c:pt idx="19">
                  <c:v>12.34</c:v>
                </c:pt>
                <c:pt idx="20">
                  <c:v>12.56</c:v>
                </c:pt>
                <c:pt idx="21">
                  <c:v>12.48</c:v>
                </c:pt>
                <c:pt idx="22">
                  <c:v>13.08</c:v>
                </c:pt>
                <c:pt idx="23">
                  <c:v>13.46</c:v>
                </c:pt>
                <c:pt idx="24">
                  <c:v>13.24</c:v>
                </c:pt>
                <c:pt idx="25">
                  <c:v>13.56</c:v>
                </c:pt>
                <c:pt idx="26">
                  <c:v>13.9</c:v>
                </c:pt>
                <c:pt idx="27">
                  <c:v>14.12</c:v>
                </c:pt>
                <c:pt idx="28">
                  <c:v>14.48</c:v>
                </c:pt>
                <c:pt idx="29">
                  <c:v>14.72</c:v>
                </c:pt>
                <c:pt idx="30">
                  <c:v>14.98</c:v>
                </c:pt>
                <c:pt idx="31">
                  <c:v>15.12</c:v>
                </c:pt>
                <c:pt idx="32">
                  <c:v>15.38</c:v>
                </c:pt>
                <c:pt idx="33">
                  <c:v>15.62</c:v>
                </c:pt>
                <c:pt idx="34">
                  <c:v>15.8</c:v>
                </c:pt>
                <c:pt idx="35">
                  <c:v>16.06</c:v>
                </c:pt>
                <c:pt idx="36">
                  <c:v>16.24</c:v>
                </c:pt>
                <c:pt idx="37">
                  <c:v>16.52</c:v>
                </c:pt>
                <c:pt idx="38">
                  <c:v>16.68</c:v>
                </c:pt>
                <c:pt idx="39">
                  <c:v>16.96</c:v>
                </c:pt>
                <c:pt idx="40">
                  <c:v>17.16</c:v>
                </c:pt>
                <c:pt idx="41">
                  <c:v>17.26</c:v>
                </c:pt>
                <c:pt idx="42">
                  <c:v>17.46</c:v>
                </c:pt>
                <c:pt idx="43">
                  <c:v>17.64</c:v>
                </c:pt>
                <c:pt idx="44">
                  <c:v>17.74</c:v>
                </c:pt>
                <c:pt idx="45">
                  <c:v>17.94</c:v>
                </c:pt>
                <c:pt idx="46">
                  <c:v>18.36</c:v>
                </c:pt>
                <c:pt idx="47">
                  <c:v>18.8</c:v>
                </c:pt>
                <c:pt idx="48">
                  <c:v>19.22</c:v>
                </c:pt>
                <c:pt idx="49">
                  <c:v>19.64</c:v>
                </c:pt>
                <c:pt idx="50">
                  <c:v>20.08</c:v>
                </c:pt>
                <c:pt idx="51">
                  <c:v>20.5</c:v>
                </c:pt>
                <c:pt idx="52">
                  <c:v>20.5</c:v>
                </c:pt>
                <c:pt idx="53">
                  <c:v>20.58</c:v>
                </c:pt>
                <c:pt idx="54">
                  <c:v>20.68</c:v>
                </c:pt>
                <c:pt idx="55">
                  <c:v>20.68</c:v>
                </c:pt>
                <c:pt idx="56">
                  <c:v>20.76</c:v>
                </c:pt>
                <c:pt idx="57">
                  <c:v>20.86</c:v>
                </c:pt>
                <c:pt idx="58">
                  <c:v>21.24</c:v>
                </c:pt>
                <c:pt idx="59">
                  <c:v>21.64</c:v>
                </c:pt>
                <c:pt idx="60">
                  <c:v>22.02</c:v>
                </c:pt>
                <c:pt idx="61">
                  <c:v>22.4</c:v>
                </c:pt>
                <c:pt idx="62">
                  <c:v>22.8</c:v>
                </c:pt>
                <c:pt idx="63">
                  <c:v>23.18</c:v>
                </c:pt>
                <c:pt idx="64">
                  <c:v>23.34</c:v>
                </c:pt>
                <c:pt idx="65">
                  <c:v>23.48</c:v>
                </c:pt>
                <c:pt idx="66">
                  <c:v>23.74</c:v>
                </c:pt>
                <c:pt idx="67">
                  <c:v>23.9</c:v>
                </c:pt>
                <c:pt idx="68">
                  <c:v>24.04</c:v>
                </c:pt>
                <c:pt idx="69">
                  <c:v>24.2</c:v>
                </c:pt>
                <c:pt idx="70">
                  <c:v>24.68</c:v>
                </c:pt>
                <c:pt idx="71">
                  <c:v>25.16</c:v>
                </c:pt>
                <c:pt idx="72">
                  <c:v>25.64</c:v>
                </c:pt>
                <c:pt idx="73">
                  <c:v>26.12</c:v>
                </c:pt>
                <c:pt idx="74">
                  <c:v>26.58</c:v>
                </c:pt>
                <c:pt idx="75">
                  <c:v>26.96</c:v>
                </c:pt>
                <c:pt idx="76">
                  <c:v>27.44</c:v>
                </c:pt>
                <c:pt idx="77">
                  <c:v>27.92</c:v>
                </c:pt>
                <c:pt idx="78">
                  <c:v>28.4</c:v>
                </c:pt>
                <c:pt idx="79">
                  <c:v>28.72</c:v>
                </c:pt>
                <c:pt idx="80">
                  <c:v>29.02</c:v>
                </c:pt>
                <c:pt idx="81">
                  <c:v>29.34</c:v>
                </c:pt>
                <c:pt idx="82">
                  <c:v>29.64</c:v>
                </c:pt>
                <c:pt idx="83">
                  <c:v>29.96</c:v>
                </c:pt>
                <c:pt idx="84">
                  <c:v>30.28</c:v>
                </c:pt>
                <c:pt idx="85">
                  <c:v>30.68</c:v>
                </c:pt>
                <c:pt idx="86">
                  <c:v>31.0</c:v>
                </c:pt>
                <c:pt idx="87">
                  <c:v>31.3</c:v>
                </c:pt>
                <c:pt idx="88">
                  <c:v>31.62</c:v>
                </c:pt>
                <c:pt idx="89">
                  <c:v>31.92</c:v>
                </c:pt>
                <c:pt idx="90">
                  <c:v>32.24</c:v>
                </c:pt>
                <c:pt idx="91">
                  <c:v>32.72</c:v>
                </c:pt>
                <c:pt idx="92">
                  <c:v>33.08</c:v>
                </c:pt>
                <c:pt idx="93">
                  <c:v>33.56</c:v>
                </c:pt>
                <c:pt idx="94">
                  <c:v>34.04</c:v>
                </c:pt>
                <c:pt idx="95">
                  <c:v>34.40000000000001</c:v>
                </c:pt>
                <c:pt idx="96">
                  <c:v>34.88</c:v>
                </c:pt>
                <c:pt idx="97">
                  <c:v>35.36</c:v>
                </c:pt>
                <c:pt idx="98">
                  <c:v>35.72</c:v>
                </c:pt>
                <c:pt idx="99">
                  <c:v>36.2</c:v>
                </c:pt>
                <c:pt idx="100">
                  <c:v>36.68</c:v>
                </c:pt>
                <c:pt idx="101">
                  <c:v>37.04</c:v>
                </c:pt>
                <c:pt idx="102">
                  <c:v>37.52</c:v>
                </c:pt>
                <c:pt idx="103">
                  <c:v>38.02</c:v>
                </c:pt>
                <c:pt idx="104">
                  <c:v>38.5</c:v>
                </c:pt>
                <c:pt idx="105">
                  <c:v>39.0</c:v>
                </c:pt>
                <c:pt idx="106">
                  <c:v>39.48</c:v>
                </c:pt>
                <c:pt idx="107">
                  <c:v>39.98</c:v>
                </c:pt>
                <c:pt idx="108">
                  <c:v>40.58</c:v>
                </c:pt>
                <c:pt idx="109">
                  <c:v>41.06</c:v>
                </c:pt>
                <c:pt idx="110">
                  <c:v>41.56</c:v>
                </c:pt>
                <c:pt idx="111">
                  <c:v>42.04</c:v>
                </c:pt>
                <c:pt idx="112">
                  <c:v>42.54</c:v>
                </c:pt>
                <c:pt idx="113">
                  <c:v>43.02</c:v>
                </c:pt>
                <c:pt idx="114">
                  <c:v>43.52</c:v>
                </c:pt>
                <c:pt idx="115">
                  <c:v>44.1</c:v>
                </c:pt>
                <c:pt idx="116">
                  <c:v>44.58</c:v>
                </c:pt>
                <c:pt idx="117">
                  <c:v>45.18</c:v>
                </c:pt>
                <c:pt idx="118">
                  <c:v>45.66</c:v>
                </c:pt>
                <c:pt idx="119">
                  <c:v>46.24</c:v>
                </c:pt>
                <c:pt idx="120">
                  <c:v>46.72</c:v>
                </c:pt>
                <c:pt idx="121">
                  <c:v>47.3</c:v>
                </c:pt>
                <c:pt idx="122">
                  <c:v>47.78</c:v>
                </c:pt>
                <c:pt idx="123">
                  <c:v>48.38</c:v>
                </c:pt>
                <c:pt idx="124">
                  <c:v>48.86</c:v>
                </c:pt>
                <c:pt idx="125">
                  <c:v>49.44</c:v>
                </c:pt>
                <c:pt idx="126">
                  <c:v>49.92</c:v>
                </c:pt>
                <c:pt idx="127">
                  <c:v>50.46</c:v>
                </c:pt>
                <c:pt idx="128">
                  <c:v>51.1</c:v>
                </c:pt>
                <c:pt idx="129">
                  <c:v>51.64</c:v>
                </c:pt>
                <c:pt idx="130">
                  <c:v>52.18</c:v>
                </c:pt>
                <c:pt idx="131">
                  <c:v>52.82</c:v>
                </c:pt>
                <c:pt idx="132">
                  <c:v>53.36</c:v>
                </c:pt>
                <c:pt idx="133">
                  <c:v>53.9</c:v>
                </c:pt>
                <c:pt idx="134">
                  <c:v>54.54</c:v>
                </c:pt>
                <c:pt idx="135">
                  <c:v>55.08</c:v>
                </c:pt>
                <c:pt idx="136">
                  <c:v>55.62</c:v>
                </c:pt>
                <c:pt idx="137">
                  <c:v>56.26</c:v>
                </c:pt>
                <c:pt idx="138">
                  <c:v>56.8</c:v>
                </c:pt>
                <c:pt idx="139">
                  <c:v>57.24</c:v>
                </c:pt>
                <c:pt idx="140">
                  <c:v>57.68</c:v>
                </c:pt>
                <c:pt idx="141">
                  <c:v>58.12</c:v>
                </c:pt>
                <c:pt idx="142">
                  <c:v>58.56</c:v>
                </c:pt>
                <c:pt idx="143">
                  <c:v>59.0</c:v>
                </c:pt>
                <c:pt idx="144">
                  <c:v>59.54000000000001</c:v>
                </c:pt>
                <c:pt idx="145">
                  <c:v>59.98</c:v>
                </c:pt>
                <c:pt idx="146">
                  <c:v>60.42</c:v>
                </c:pt>
                <c:pt idx="147">
                  <c:v>60.86</c:v>
                </c:pt>
                <c:pt idx="148">
                  <c:v>61.3</c:v>
                </c:pt>
                <c:pt idx="149">
                  <c:v>61.74</c:v>
                </c:pt>
                <c:pt idx="150">
                  <c:v>62.18</c:v>
                </c:pt>
                <c:pt idx="151">
                  <c:v>62.42</c:v>
                </c:pt>
                <c:pt idx="152">
                  <c:v>62.66</c:v>
                </c:pt>
                <c:pt idx="153">
                  <c:v>62.8</c:v>
                </c:pt>
                <c:pt idx="154">
                  <c:v>63.04000000000001</c:v>
                </c:pt>
                <c:pt idx="155">
                  <c:v>63.28</c:v>
                </c:pt>
                <c:pt idx="156">
                  <c:v>63.54000000000001</c:v>
                </c:pt>
                <c:pt idx="157">
                  <c:v>63.68</c:v>
                </c:pt>
                <c:pt idx="158">
                  <c:v>63.92</c:v>
                </c:pt>
                <c:pt idx="159">
                  <c:v>64.16</c:v>
                </c:pt>
                <c:pt idx="160">
                  <c:v>64.4</c:v>
                </c:pt>
                <c:pt idx="161">
                  <c:v>64.54</c:v>
                </c:pt>
                <c:pt idx="162">
                  <c:v>64.78</c:v>
                </c:pt>
                <c:pt idx="163">
                  <c:v>65.14</c:v>
                </c:pt>
                <c:pt idx="164">
                  <c:v>65.28</c:v>
                </c:pt>
                <c:pt idx="165">
                  <c:v>65.24</c:v>
                </c:pt>
                <c:pt idx="166">
                  <c:v>65.38</c:v>
                </c:pt>
                <c:pt idx="167">
                  <c:v>65.54</c:v>
                </c:pt>
                <c:pt idx="168">
                  <c:v>65.7</c:v>
                </c:pt>
                <c:pt idx="169">
                  <c:v>65.84</c:v>
                </c:pt>
                <c:pt idx="170">
                  <c:v>66.0</c:v>
                </c:pt>
                <c:pt idx="171">
                  <c:v>66.14</c:v>
                </c:pt>
                <c:pt idx="172">
                  <c:v>66.3</c:v>
                </c:pt>
                <c:pt idx="173">
                  <c:v>66.44</c:v>
                </c:pt>
                <c:pt idx="174">
                  <c:v>66.60000000000001</c:v>
                </c:pt>
                <c:pt idx="175">
                  <c:v>66.76</c:v>
                </c:pt>
                <c:pt idx="176">
                  <c:v>66.9</c:v>
                </c:pt>
                <c:pt idx="177">
                  <c:v>67.16</c:v>
                </c:pt>
                <c:pt idx="178">
                  <c:v>67.30000000000001</c:v>
                </c:pt>
                <c:pt idx="179">
                  <c:v>67.46</c:v>
                </c:pt>
                <c:pt idx="180">
                  <c:v>67.62</c:v>
                </c:pt>
                <c:pt idx="181">
                  <c:v>67.76</c:v>
                </c:pt>
                <c:pt idx="182">
                  <c:v>67.92</c:v>
                </c:pt>
                <c:pt idx="183">
                  <c:v>68.16</c:v>
                </c:pt>
                <c:pt idx="184">
                  <c:v>68.32</c:v>
                </c:pt>
                <c:pt idx="185">
                  <c:v>68.46</c:v>
                </c:pt>
                <c:pt idx="186">
                  <c:v>68.62</c:v>
                </c:pt>
                <c:pt idx="187">
                  <c:v>68.64</c:v>
                </c:pt>
                <c:pt idx="188">
                  <c:v>68.67999999999999</c:v>
                </c:pt>
                <c:pt idx="189">
                  <c:v>68.6</c:v>
                </c:pt>
                <c:pt idx="190">
                  <c:v>68.62</c:v>
                </c:pt>
                <c:pt idx="191">
                  <c:v>68.64</c:v>
                </c:pt>
                <c:pt idx="192">
                  <c:v>68.68000000000001</c:v>
                </c:pt>
                <c:pt idx="193">
                  <c:v>68.6</c:v>
                </c:pt>
                <c:pt idx="194">
                  <c:v>68.62</c:v>
                </c:pt>
                <c:pt idx="195">
                  <c:v>68.64</c:v>
                </c:pt>
                <c:pt idx="196">
                  <c:v>68.67999999999999</c:v>
                </c:pt>
                <c:pt idx="197">
                  <c:v>68.6</c:v>
                </c:pt>
                <c:pt idx="198">
                  <c:v>68.62</c:v>
                </c:pt>
                <c:pt idx="199">
                  <c:v>68.64</c:v>
                </c:pt>
                <c:pt idx="200">
                  <c:v>68.64</c:v>
                </c:pt>
                <c:pt idx="201">
                  <c:v>68.66</c:v>
                </c:pt>
                <c:pt idx="202">
                  <c:v>68.68000000000001</c:v>
                </c:pt>
                <c:pt idx="203">
                  <c:v>68.68000000000001</c:v>
                </c:pt>
                <c:pt idx="204">
                  <c:v>68.8</c:v>
                </c:pt>
                <c:pt idx="205">
                  <c:v>68.82000000000001</c:v>
                </c:pt>
                <c:pt idx="206">
                  <c:v>68.82000000000001</c:v>
                </c:pt>
                <c:pt idx="207">
                  <c:v>68.84</c:v>
                </c:pt>
                <c:pt idx="208">
                  <c:v>68.86</c:v>
                </c:pt>
                <c:pt idx="209">
                  <c:v>68.86</c:v>
                </c:pt>
                <c:pt idx="210">
                  <c:v>68.88</c:v>
                </c:pt>
              </c:numCache>
            </c:numRef>
          </c:yVal>
          <c:smooth val="0"/>
        </c:ser>
        <c:ser>
          <c:idx val="9"/>
          <c:order val="9"/>
          <c:tx>
            <c:strRef>
              <c:f>成長曲線_データ!$R$2</c:f>
              <c:strCache>
                <c:ptCount val="1"/>
                <c:pt idx="0">
                  <c:v>+1SD</c:v>
                </c:pt>
              </c:strCache>
            </c:strRef>
          </c:tx>
          <c:spPr>
            <a:ln w="127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成長曲線_データ!$R$4:$R$214</c:f>
              <c:numCache>
                <c:formatCode>General</c:formatCode>
                <c:ptCount val="211"/>
                <c:pt idx="0">
                  <c:v>3.4</c:v>
                </c:pt>
                <c:pt idx="1">
                  <c:v>4.609999999999999</c:v>
                </c:pt>
                <c:pt idx="2">
                  <c:v>5.8</c:v>
                </c:pt>
                <c:pt idx="3">
                  <c:v>6.66</c:v>
                </c:pt>
                <c:pt idx="4">
                  <c:v>7.35</c:v>
                </c:pt>
                <c:pt idx="5">
                  <c:v>7.83</c:v>
                </c:pt>
                <c:pt idx="6">
                  <c:v>8.29</c:v>
                </c:pt>
                <c:pt idx="7">
                  <c:v>8.6</c:v>
                </c:pt>
                <c:pt idx="8">
                  <c:v>8.88</c:v>
                </c:pt>
                <c:pt idx="9">
                  <c:v>9.1</c:v>
                </c:pt>
                <c:pt idx="10">
                  <c:v>9.37</c:v>
                </c:pt>
                <c:pt idx="11">
                  <c:v>9.51</c:v>
                </c:pt>
                <c:pt idx="12">
                  <c:v>9.66</c:v>
                </c:pt>
                <c:pt idx="13">
                  <c:v>9.9</c:v>
                </c:pt>
                <c:pt idx="14">
                  <c:v>10.14</c:v>
                </c:pt>
                <c:pt idx="15">
                  <c:v>10.26</c:v>
                </c:pt>
                <c:pt idx="16">
                  <c:v>10.43</c:v>
                </c:pt>
                <c:pt idx="17">
                  <c:v>10.69</c:v>
                </c:pt>
                <c:pt idx="18">
                  <c:v>10.93</c:v>
                </c:pt>
                <c:pt idx="19">
                  <c:v>11.27</c:v>
                </c:pt>
                <c:pt idx="20">
                  <c:v>11.48</c:v>
                </c:pt>
                <c:pt idx="21">
                  <c:v>11.44</c:v>
                </c:pt>
                <c:pt idx="22">
                  <c:v>11.89</c:v>
                </c:pt>
                <c:pt idx="23">
                  <c:v>12.23</c:v>
                </c:pt>
                <c:pt idx="24">
                  <c:v>12.12</c:v>
                </c:pt>
                <c:pt idx="25">
                  <c:v>12.38</c:v>
                </c:pt>
                <c:pt idx="26">
                  <c:v>12.65</c:v>
                </c:pt>
                <c:pt idx="27">
                  <c:v>12.81</c:v>
                </c:pt>
                <c:pt idx="28">
                  <c:v>13.14</c:v>
                </c:pt>
                <c:pt idx="29">
                  <c:v>13.36</c:v>
                </c:pt>
                <c:pt idx="30">
                  <c:v>13.59</c:v>
                </c:pt>
                <c:pt idx="31">
                  <c:v>13.71</c:v>
                </c:pt>
                <c:pt idx="32">
                  <c:v>13.94</c:v>
                </c:pt>
                <c:pt idx="33">
                  <c:v>14.16</c:v>
                </c:pt>
                <c:pt idx="34">
                  <c:v>14.3</c:v>
                </c:pt>
                <c:pt idx="35">
                  <c:v>14.53</c:v>
                </c:pt>
                <c:pt idx="36">
                  <c:v>14.67</c:v>
                </c:pt>
                <c:pt idx="37">
                  <c:v>14.91</c:v>
                </c:pt>
                <c:pt idx="38">
                  <c:v>15.04</c:v>
                </c:pt>
                <c:pt idx="39">
                  <c:v>15.28</c:v>
                </c:pt>
                <c:pt idx="40">
                  <c:v>15.48</c:v>
                </c:pt>
                <c:pt idx="41">
                  <c:v>15.58</c:v>
                </c:pt>
                <c:pt idx="42">
                  <c:v>15.78</c:v>
                </c:pt>
                <c:pt idx="43">
                  <c:v>15.97</c:v>
                </c:pt>
                <c:pt idx="44">
                  <c:v>16.07</c:v>
                </c:pt>
                <c:pt idx="45">
                  <c:v>16.27</c:v>
                </c:pt>
                <c:pt idx="46">
                  <c:v>16.58</c:v>
                </c:pt>
                <c:pt idx="47">
                  <c:v>16.9</c:v>
                </c:pt>
                <c:pt idx="48">
                  <c:v>17.21</c:v>
                </c:pt>
                <c:pt idx="49">
                  <c:v>17.52</c:v>
                </c:pt>
                <c:pt idx="50">
                  <c:v>17.84</c:v>
                </c:pt>
                <c:pt idx="51">
                  <c:v>18.15</c:v>
                </c:pt>
                <c:pt idx="52">
                  <c:v>18.2</c:v>
                </c:pt>
                <c:pt idx="53">
                  <c:v>18.34</c:v>
                </c:pt>
                <c:pt idx="54">
                  <c:v>18.49</c:v>
                </c:pt>
                <c:pt idx="55">
                  <c:v>18.54</c:v>
                </c:pt>
                <c:pt idx="56">
                  <c:v>18.68</c:v>
                </c:pt>
                <c:pt idx="57">
                  <c:v>18.83</c:v>
                </c:pt>
                <c:pt idx="58">
                  <c:v>19.12</c:v>
                </c:pt>
                <c:pt idx="59">
                  <c:v>19.42</c:v>
                </c:pt>
                <c:pt idx="60">
                  <c:v>19.71</c:v>
                </c:pt>
                <c:pt idx="61">
                  <c:v>20.0</c:v>
                </c:pt>
                <c:pt idx="62">
                  <c:v>20.3</c:v>
                </c:pt>
                <c:pt idx="63">
                  <c:v>20.59</c:v>
                </c:pt>
                <c:pt idx="64">
                  <c:v>20.72</c:v>
                </c:pt>
                <c:pt idx="65">
                  <c:v>20.84</c:v>
                </c:pt>
                <c:pt idx="66">
                  <c:v>21.07</c:v>
                </c:pt>
                <c:pt idx="67">
                  <c:v>21.2</c:v>
                </c:pt>
                <c:pt idx="68">
                  <c:v>21.32</c:v>
                </c:pt>
                <c:pt idx="69">
                  <c:v>21.45</c:v>
                </c:pt>
                <c:pt idx="70">
                  <c:v>21.84</c:v>
                </c:pt>
                <c:pt idx="71">
                  <c:v>22.23</c:v>
                </c:pt>
                <c:pt idx="72">
                  <c:v>22.62</c:v>
                </c:pt>
                <c:pt idx="73">
                  <c:v>23.01</c:v>
                </c:pt>
                <c:pt idx="74">
                  <c:v>23.39</c:v>
                </c:pt>
                <c:pt idx="75">
                  <c:v>23.68</c:v>
                </c:pt>
                <c:pt idx="76">
                  <c:v>24.07</c:v>
                </c:pt>
                <c:pt idx="77">
                  <c:v>24.46</c:v>
                </c:pt>
                <c:pt idx="78">
                  <c:v>24.85</c:v>
                </c:pt>
                <c:pt idx="79">
                  <c:v>25.11</c:v>
                </c:pt>
                <c:pt idx="80">
                  <c:v>25.36</c:v>
                </c:pt>
                <c:pt idx="81">
                  <c:v>25.62</c:v>
                </c:pt>
                <c:pt idx="82">
                  <c:v>25.87</c:v>
                </c:pt>
                <c:pt idx="83">
                  <c:v>26.13</c:v>
                </c:pt>
                <c:pt idx="84">
                  <c:v>26.39</c:v>
                </c:pt>
                <c:pt idx="85">
                  <c:v>26.74</c:v>
                </c:pt>
                <c:pt idx="86">
                  <c:v>27.0</c:v>
                </c:pt>
                <c:pt idx="87">
                  <c:v>27.25</c:v>
                </c:pt>
                <c:pt idx="88">
                  <c:v>27.51</c:v>
                </c:pt>
                <c:pt idx="89">
                  <c:v>27.76</c:v>
                </c:pt>
                <c:pt idx="90">
                  <c:v>28.02</c:v>
                </c:pt>
                <c:pt idx="91">
                  <c:v>28.41</c:v>
                </c:pt>
                <c:pt idx="92">
                  <c:v>28.69</c:v>
                </c:pt>
                <c:pt idx="93">
                  <c:v>29.08</c:v>
                </c:pt>
                <c:pt idx="94">
                  <c:v>29.47</c:v>
                </c:pt>
                <c:pt idx="95">
                  <c:v>29.75</c:v>
                </c:pt>
                <c:pt idx="96">
                  <c:v>30.14</c:v>
                </c:pt>
                <c:pt idx="97">
                  <c:v>30.53</c:v>
                </c:pt>
                <c:pt idx="98">
                  <c:v>30.81</c:v>
                </c:pt>
                <c:pt idx="99">
                  <c:v>31.2</c:v>
                </c:pt>
                <c:pt idx="100">
                  <c:v>31.59</c:v>
                </c:pt>
                <c:pt idx="101">
                  <c:v>31.87</c:v>
                </c:pt>
                <c:pt idx="102">
                  <c:v>32.26</c:v>
                </c:pt>
                <c:pt idx="103">
                  <c:v>32.66</c:v>
                </c:pt>
                <c:pt idx="104">
                  <c:v>33.05</c:v>
                </c:pt>
                <c:pt idx="105">
                  <c:v>33.45</c:v>
                </c:pt>
                <c:pt idx="106">
                  <c:v>33.84</c:v>
                </c:pt>
                <c:pt idx="107">
                  <c:v>34.24</c:v>
                </c:pt>
                <c:pt idx="108">
                  <c:v>34.74</c:v>
                </c:pt>
                <c:pt idx="109">
                  <c:v>35.13</c:v>
                </c:pt>
                <c:pt idx="110">
                  <c:v>35.53</c:v>
                </c:pt>
                <c:pt idx="111">
                  <c:v>35.92</c:v>
                </c:pt>
                <c:pt idx="112">
                  <c:v>36.32</c:v>
                </c:pt>
                <c:pt idx="113">
                  <c:v>36.71</c:v>
                </c:pt>
                <c:pt idx="114">
                  <c:v>37.11</c:v>
                </c:pt>
                <c:pt idx="115">
                  <c:v>37.6</c:v>
                </c:pt>
                <c:pt idx="116">
                  <c:v>37.99</c:v>
                </c:pt>
                <c:pt idx="117">
                  <c:v>38.49</c:v>
                </c:pt>
                <c:pt idx="118">
                  <c:v>38.88</c:v>
                </c:pt>
                <c:pt idx="119">
                  <c:v>39.37</c:v>
                </c:pt>
                <c:pt idx="120">
                  <c:v>39.76</c:v>
                </c:pt>
                <c:pt idx="121">
                  <c:v>40.25</c:v>
                </c:pt>
                <c:pt idx="122">
                  <c:v>40.64</c:v>
                </c:pt>
                <c:pt idx="123">
                  <c:v>41.14</c:v>
                </c:pt>
                <c:pt idx="124">
                  <c:v>41.53</c:v>
                </c:pt>
                <c:pt idx="125">
                  <c:v>42.02</c:v>
                </c:pt>
                <c:pt idx="126">
                  <c:v>42.41</c:v>
                </c:pt>
                <c:pt idx="127">
                  <c:v>42.88</c:v>
                </c:pt>
                <c:pt idx="128">
                  <c:v>43.45</c:v>
                </c:pt>
                <c:pt idx="129">
                  <c:v>43.92</c:v>
                </c:pt>
                <c:pt idx="130">
                  <c:v>44.39</c:v>
                </c:pt>
                <c:pt idx="131">
                  <c:v>44.96</c:v>
                </c:pt>
                <c:pt idx="132">
                  <c:v>45.43</c:v>
                </c:pt>
                <c:pt idx="133">
                  <c:v>45.9</c:v>
                </c:pt>
                <c:pt idx="134">
                  <c:v>46.47</c:v>
                </c:pt>
                <c:pt idx="135">
                  <c:v>46.94</c:v>
                </c:pt>
                <c:pt idx="136">
                  <c:v>47.41</c:v>
                </c:pt>
                <c:pt idx="137">
                  <c:v>47.98</c:v>
                </c:pt>
                <c:pt idx="138">
                  <c:v>48.45</c:v>
                </c:pt>
                <c:pt idx="139">
                  <c:v>48.87</c:v>
                </c:pt>
                <c:pt idx="140">
                  <c:v>49.29</c:v>
                </c:pt>
                <c:pt idx="141">
                  <c:v>49.71</c:v>
                </c:pt>
                <c:pt idx="142">
                  <c:v>50.13</c:v>
                </c:pt>
                <c:pt idx="143">
                  <c:v>50.55</c:v>
                </c:pt>
                <c:pt idx="144">
                  <c:v>51.07</c:v>
                </c:pt>
                <c:pt idx="145">
                  <c:v>51.49</c:v>
                </c:pt>
                <c:pt idx="146">
                  <c:v>51.91</c:v>
                </c:pt>
                <c:pt idx="147">
                  <c:v>52.33</c:v>
                </c:pt>
                <c:pt idx="148">
                  <c:v>52.75</c:v>
                </c:pt>
                <c:pt idx="149">
                  <c:v>53.17</c:v>
                </c:pt>
                <c:pt idx="150">
                  <c:v>53.59</c:v>
                </c:pt>
                <c:pt idx="151">
                  <c:v>53.86</c:v>
                </c:pt>
                <c:pt idx="152">
                  <c:v>54.13</c:v>
                </c:pt>
                <c:pt idx="153">
                  <c:v>54.3</c:v>
                </c:pt>
                <c:pt idx="154">
                  <c:v>54.57</c:v>
                </c:pt>
                <c:pt idx="155">
                  <c:v>54.84</c:v>
                </c:pt>
                <c:pt idx="156">
                  <c:v>55.12</c:v>
                </c:pt>
                <c:pt idx="157">
                  <c:v>55.29</c:v>
                </c:pt>
                <c:pt idx="158">
                  <c:v>55.56</c:v>
                </c:pt>
                <c:pt idx="159">
                  <c:v>55.83</c:v>
                </c:pt>
                <c:pt idx="160">
                  <c:v>56.1</c:v>
                </c:pt>
                <c:pt idx="161">
                  <c:v>56.27</c:v>
                </c:pt>
                <c:pt idx="162">
                  <c:v>56.54</c:v>
                </c:pt>
                <c:pt idx="163">
                  <c:v>56.92</c:v>
                </c:pt>
                <c:pt idx="164">
                  <c:v>57.09</c:v>
                </c:pt>
                <c:pt idx="165">
                  <c:v>57.07</c:v>
                </c:pt>
                <c:pt idx="166">
                  <c:v>57.24</c:v>
                </c:pt>
                <c:pt idx="167">
                  <c:v>57.42</c:v>
                </c:pt>
                <c:pt idx="168">
                  <c:v>57.6</c:v>
                </c:pt>
                <c:pt idx="169">
                  <c:v>57.77</c:v>
                </c:pt>
                <c:pt idx="170">
                  <c:v>57.95</c:v>
                </c:pt>
                <c:pt idx="171">
                  <c:v>58.12</c:v>
                </c:pt>
                <c:pt idx="172">
                  <c:v>58.3</c:v>
                </c:pt>
                <c:pt idx="173">
                  <c:v>58.47</c:v>
                </c:pt>
                <c:pt idx="174">
                  <c:v>58.65000000000001</c:v>
                </c:pt>
                <c:pt idx="175">
                  <c:v>58.78</c:v>
                </c:pt>
                <c:pt idx="176">
                  <c:v>58.9</c:v>
                </c:pt>
                <c:pt idx="177">
                  <c:v>59.13</c:v>
                </c:pt>
                <c:pt idx="178">
                  <c:v>59.25</c:v>
                </c:pt>
                <c:pt idx="179">
                  <c:v>59.38</c:v>
                </c:pt>
                <c:pt idx="180">
                  <c:v>59.51</c:v>
                </c:pt>
                <c:pt idx="181">
                  <c:v>59.63</c:v>
                </c:pt>
                <c:pt idx="182">
                  <c:v>59.76</c:v>
                </c:pt>
                <c:pt idx="183">
                  <c:v>59.98</c:v>
                </c:pt>
                <c:pt idx="184">
                  <c:v>60.11</c:v>
                </c:pt>
                <c:pt idx="185">
                  <c:v>60.23</c:v>
                </c:pt>
                <c:pt idx="186">
                  <c:v>60.36</c:v>
                </c:pt>
                <c:pt idx="187">
                  <c:v>60.42</c:v>
                </c:pt>
                <c:pt idx="188">
                  <c:v>60.49</c:v>
                </c:pt>
                <c:pt idx="189">
                  <c:v>60.45</c:v>
                </c:pt>
                <c:pt idx="190">
                  <c:v>60.51</c:v>
                </c:pt>
                <c:pt idx="191">
                  <c:v>60.57</c:v>
                </c:pt>
                <c:pt idx="192">
                  <c:v>60.64</c:v>
                </c:pt>
                <c:pt idx="193">
                  <c:v>60.6</c:v>
                </c:pt>
                <c:pt idx="194">
                  <c:v>60.66</c:v>
                </c:pt>
                <c:pt idx="195">
                  <c:v>60.72</c:v>
                </c:pt>
                <c:pt idx="196">
                  <c:v>60.79</c:v>
                </c:pt>
                <c:pt idx="197">
                  <c:v>60.75</c:v>
                </c:pt>
                <c:pt idx="198">
                  <c:v>60.81</c:v>
                </c:pt>
                <c:pt idx="199">
                  <c:v>60.82</c:v>
                </c:pt>
                <c:pt idx="200">
                  <c:v>60.82</c:v>
                </c:pt>
                <c:pt idx="201">
                  <c:v>60.83</c:v>
                </c:pt>
                <c:pt idx="202">
                  <c:v>60.84</c:v>
                </c:pt>
                <c:pt idx="203">
                  <c:v>60.84</c:v>
                </c:pt>
                <c:pt idx="204">
                  <c:v>60.95</c:v>
                </c:pt>
                <c:pt idx="205">
                  <c:v>60.96</c:v>
                </c:pt>
                <c:pt idx="206">
                  <c:v>60.96</c:v>
                </c:pt>
                <c:pt idx="207">
                  <c:v>60.97</c:v>
                </c:pt>
                <c:pt idx="208">
                  <c:v>60.98</c:v>
                </c:pt>
                <c:pt idx="209">
                  <c:v>60.98</c:v>
                </c:pt>
                <c:pt idx="210">
                  <c:v>60.99</c:v>
                </c:pt>
              </c:numCache>
            </c:numRef>
          </c:yVal>
          <c:smooth val="0"/>
        </c:ser>
        <c:ser>
          <c:idx val="10"/>
          <c:order val="10"/>
          <c:tx>
            <c:strRef>
              <c:f>成長曲線_データ!$S$2</c:f>
              <c:strCache>
                <c:ptCount val="1"/>
                <c:pt idx="0">
                  <c:v>-1SD</c:v>
                </c:pt>
              </c:strCache>
            </c:strRef>
          </c:tx>
          <c:spPr>
            <a:ln w="127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成長曲線_データ!$S$4:$S$214</c:f>
              <c:numCache>
                <c:formatCode>General</c:formatCode>
                <c:ptCount val="211"/>
                <c:pt idx="0">
                  <c:v>2.6</c:v>
                </c:pt>
                <c:pt idx="1">
                  <c:v>3.59</c:v>
                </c:pt>
                <c:pt idx="2">
                  <c:v>4.6</c:v>
                </c:pt>
                <c:pt idx="3">
                  <c:v>5.34</c:v>
                </c:pt>
                <c:pt idx="4">
                  <c:v>5.85</c:v>
                </c:pt>
                <c:pt idx="5">
                  <c:v>6.17</c:v>
                </c:pt>
                <c:pt idx="6">
                  <c:v>6.71</c:v>
                </c:pt>
                <c:pt idx="7">
                  <c:v>7.0</c:v>
                </c:pt>
                <c:pt idx="8">
                  <c:v>7.12</c:v>
                </c:pt>
                <c:pt idx="9">
                  <c:v>7.299999999999999</c:v>
                </c:pt>
                <c:pt idx="10">
                  <c:v>7.63</c:v>
                </c:pt>
                <c:pt idx="11">
                  <c:v>7.689999999999999</c:v>
                </c:pt>
                <c:pt idx="12">
                  <c:v>7.74</c:v>
                </c:pt>
                <c:pt idx="13">
                  <c:v>8.1</c:v>
                </c:pt>
                <c:pt idx="14">
                  <c:v>8.26</c:v>
                </c:pt>
                <c:pt idx="15">
                  <c:v>8.34</c:v>
                </c:pt>
                <c:pt idx="16">
                  <c:v>8.57</c:v>
                </c:pt>
                <c:pt idx="17">
                  <c:v>8.71</c:v>
                </c:pt>
                <c:pt idx="18">
                  <c:v>8.87</c:v>
                </c:pt>
                <c:pt idx="19">
                  <c:v>9.129999999999998</c:v>
                </c:pt>
                <c:pt idx="20">
                  <c:v>9.32</c:v>
                </c:pt>
                <c:pt idx="21">
                  <c:v>9.36</c:v>
                </c:pt>
                <c:pt idx="22">
                  <c:v>9.51</c:v>
                </c:pt>
                <c:pt idx="23">
                  <c:v>9.77</c:v>
                </c:pt>
                <c:pt idx="24">
                  <c:v>9.879999999999998</c:v>
                </c:pt>
                <c:pt idx="25">
                  <c:v>10.02</c:v>
                </c:pt>
                <c:pt idx="26">
                  <c:v>10.15</c:v>
                </c:pt>
                <c:pt idx="27">
                  <c:v>10.19</c:v>
                </c:pt>
                <c:pt idx="28">
                  <c:v>10.46</c:v>
                </c:pt>
                <c:pt idx="29">
                  <c:v>10.64</c:v>
                </c:pt>
                <c:pt idx="30">
                  <c:v>10.81</c:v>
                </c:pt>
                <c:pt idx="31">
                  <c:v>10.89</c:v>
                </c:pt>
                <c:pt idx="32">
                  <c:v>11.06</c:v>
                </c:pt>
                <c:pt idx="33">
                  <c:v>11.24</c:v>
                </c:pt>
                <c:pt idx="34">
                  <c:v>11.3</c:v>
                </c:pt>
                <c:pt idx="35">
                  <c:v>11.47</c:v>
                </c:pt>
                <c:pt idx="36">
                  <c:v>11.53</c:v>
                </c:pt>
                <c:pt idx="37">
                  <c:v>11.69</c:v>
                </c:pt>
                <c:pt idx="38">
                  <c:v>11.76</c:v>
                </c:pt>
                <c:pt idx="39">
                  <c:v>11.92</c:v>
                </c:pt>
                <c:pt idx="40">
                  <c:v>12.12</c:v>
                </c:pt>
                <c:pt idx="41">
                  <c:v>12.22</c:v>
                </c:pt>
                <c:pt idx="42">
                  <c:v>12.42</c:v>
                </c:pt>
                <c:pt idx="43">
                  <c:v>12.63</c:v>
                </c:pt>
                <c:pt idx="44">
                  <c:v>12.73</c:v>
                </c:pt>
                <c:pt idx="45">
                  <c:v>12.93</c:v>
                </c:pt>
                <c:pt idx="46">
                  <c:v>13.02</c:v>
                </c:pt>
                <c:pt idx="47">
                  <c:v>13.1</c:v>
                </c:pt>
                <c:pt idx="48">
                  <c:v>13.19</c:v>
                </c:pt>
                <c:pt idx="49">
                  <c:v>13.28</c:v>
                </c:pt>
                <c:pt idx="50">
                  <c:v>13.36</c:v>
                </c:pt>
                <c:pt idx="51">
                  <c:v>13.45</c:v>
                </c:pt>
                <c:pt idx="52">
                  <c:v>13.6</c:v>
                </c:pt>
                <c:pt idx="53">
                  <c:v>13.86</c:v>
                </c:pt>
                <c:pt idx="54">
                  <c:v>14.11</c:v>
                </c:pt>
                <c:pt idx="55">
                  <c:v>14.26</c:v>
                </c:pt>
                <c:pt idx="56">
                  <c:v>14.52</c:v>
                </c:pt>
                <c:pt idx="57">
                  <c:v>14.77</c:v>
                </c:pt>
                <c:pt idx="58">
                  <c:v>14.88</c:v>
                </c:pt>
                <c:pt idx="59">
                  <c:v>14.98</c:v>
                </c:pt>
                <c:pt idx="60">
                  <c:v>15.09</c:v>
                </c:pt>
                <c:pt idx="61">
                  <c:v>15.2</c:v>
                </c:pt>
                <c:pt idx="62">
                  <c:v>15.3</c:v>
                </c:pt>
                <c:pt idx="63">
                  <c:v>15.41</c:v>
                </c:pt>
                <c:pt idx="64">
                  <c:v>15.48</c:v>
                </c:pt>
                <c:pt idx="65">
                  <c:v>15.56</c:v>
                </c:pt>
                <c:pt idx="66">
                  <c:v>15.73</c:v>
                </c:pt>
                <c:pt idx="67">
                  <c:v>15.8</c:v>
                </c:pt>
                <c:pt idx="68">
                  <c:v>15.88</c:v>
                </c:pt>
                <c:pt idx="69">
                  <c:v>15.95</c:v>
                </c:pt>
                <c:pt idx="70">
                  <c:v>16.16</c:v>
                </c:pt>
                <c:pt idx="71">
                  <c:v>16.37</c:v>
                </c:pt>
                <c:pt idx="72">
                  <c:v>16.58</c:v>
                </c:pt>
                <c:pt idx="73">
                  <c:v>16.79</c:v>
                </c:pt>
                <c:pt idx="74">
                  <c:v>17.01</c:v>
                </c:pt>
                <c:pt idx="75">
                  <c:v>17.12</c:v>
                </c:pt>
                <c:pt idx="76">
                  <c:v>17.33</c:v>
                </c:pt>
                <c:pt idx="77">
                  <c:v>17.54</c:v>
                </c:pt>
                <c:pt idx="78">
                  <c:v>17.75</c:v>
                </c:pt>
                <c:pt idx="79">
                  <c:v>17.89</c:v>
                </c:pt>
                <c:pt idx="80">
                  <c:v>18.04</c:v>
                </c:pt>
                <c:pt idx="81">
                  <c:v>18.18</c:v>
                </c:pt>
                <c:pt idx="82">
                  <c:v>18.33</c:v>
                </c:pt>
                <c:pt idx="83">
                  <c:v>18.47</c:v>
                </c:pt>
                <c:pt idx="84">
                  <c:v>18.61</c:v>
                </c:pt>
                <c:pt idx="85">
                  <c:v>18.86</c:v>
                </c:pt>
                <c:pt idx="86">
                  <c:v>19.0</c:v>
                </c:pt>
                <c:pt idx="87">
                  <c:v>19.15</c:v>
                </c:pt>
                <c:pt idx="88">
                  <c:v>19.29</c:v>
                </c:pt>
                <c:pt idx="89">
                  <c:v>19.44</c:v>
                </c:pt>
                <c:pt idx="90">
                  <c:v>19.58</c:v>
                </c:pt>
                <c:pt idx="91">
                  <c:v>19.79</c:v>
                </c:pt>
                <c:pt idx="92">
                  <c:v>19.91</c:v>
                </c:pt>
                <c:pt idx="93">
                  <c:v>20.12</c:v>
                </c:pt>
                <c:pt idx="94">
                  <c:v>20.33</c:v>
                </c:pt>
                <c:pt idx="95">
                  <c:v>20.45</c:v>
                </c:pt>
                <c:pt idx="96">
                  <c:v>20.66</c:v>
                </c:pt>
                <c:pt idx="97">
                  <c:v>20.87</c:v>
                </c:pt>
                <c:pt idx="98">
                  <c:v>20.99</c:v>
                </c:pt>
                <c:pt idx="99">
                  <c:v>21.2</c:v>
                </c:pt>
                <c:pt idx="100">
                  <c:v>21.41</c:v>
                </c:pt>
                <c:pt idx="101">
                  <c:v>21.53</c:v>
                </c:pt>
                <c:pt idx="102">
                  <c:v>21.74</c:v>
                </c:pt>
                <c:pt idx="103">
                  <c:v>21.94</c:v>
                </c:pt>
                <c:pt idx="104">
                  <c:v>22.15</c:v>
                </c:pt>
                <c:pt idx="105">
                  <c:v>22.35</c:v>
                </c:pt>
                <c:pt idx="106">
                  <c:v>22.56</c:v>
                </c:pt>
                <c:pt idx="107">
                  <c:v>22.76</c:v>
                </c:pt>
                <c:pt idx="108">
                  <c:v>23.06</c:v>
                </c:pt>
                <c:pt idx="109">
                  <c:v>23.27</c:v>
                </c:pt>
                <c:pt idx="110">
                  <c:v>23.47</c:v>
                </c:pt>
                <c:pt idx="111">
                  <c:v>23.68</c:v>
                </c:pt>
                <c:pt idx="112">
                  <c:v>23.88</c:v>
                </c:pt>
                <c:pt idx="113">
                  <c:v>24.09</c:v>
                </c:pt>
                <c:pt idx="114">
                  <c:v>24.29</c:v>
                </c:pt>
                <c:pt idx="115">
                  <c:v>24.6</c:v>
                </c:pt>
                <c:pt idx="116">
                  <c:v>24.81</c:v>
                </c:pt>
                <c:pt idx="117">
                  <c:v>25.11</c:v>
                </c:pt>
                <c:pt idx="118">
                  <c:v>25.32</c:v>
                </c:pt>
                <c:pt idx="119">
                  <c:v>25.63</c:v>
                </c:pt>
                <c:pt idx="120">
                  <c:v>25.84</c:v>
                </c:pt>
                <c:pt idx="121">
                  <c:v>26.15</c:v>
                </c:pt>
                <c:pt idx="122">
                  <c:v>26.36</c:v>
                </c:pt>
                <c:pt idx="123">
                  <c:v>26.66</c:v>
                </c:pt>
                <c:pt idx="124">
                  <c:v>26.87</c:v>
                </c:pt>
                <c:pt idx="125">
                  <c:v>27.18</c:v>
                </c:pt>
                <c:pt idx="126">
                  <c:v>27.39</c:v>
                </c:pt>
                <c:pt idx="127">
                  <c:v>27.72</c:v>
                </c:pt>
                <c:pt idx="128">
                  <c:v>28.15</c:v>
                </c:pt>
                <c:pt idx="129">
                  <c:v>28.48</c:v>
                </c:pt>
                <c:pt idx="130">
                  <c:v>28.81</c:v>
                </c:pt>
                <c:pt idx="131">
                  <c:v>29.24</c:v>
                </c:pt>
                <c:pt idx="132">
                  <c:v>29.57</c:v>
                </c:pt>
                <c:pt idx="133">
                  <c:v>29.9</c:v>
                </c:pt>
                <c:pt idx="134">
                  <c:v>30.33</c:v>
                </c:pt>
                <c:pt idx="135">
                  <c:v>30.66</c:v>
                </c:pt>
                <c:pt idx="136">
                  <c:v>30.99</c:v>
                </c:pt>
                <c:pt idx="137">
                  <c:v>31.42</c:v>
                </c:pt>
                <c:pt idx="138">
                  <c:v>31.75</c:v>
                </c:pt>
                <c:pt idx="139">
                  <c:v>32.13</c:v>
                </c:pt>
                <c:pt idx="140">
                  <c:v>32.51</c:v>
                </c:pt>
                <c:pt idx="141">
                  <c:v>32.89</c:v>
                </c:pt>
                <c:pt idx="142">
                  <c:v>33.27</c:v>
                </c:pt>
                <c:pt idx="143">
                  <c:v>33.65000000000001</c:v>
                </c:pt>
                <c:pt idx="144">
                  <c:v>34.13</c:v>
                </c:pt>
                <c:pt idx="145">
                  <c:v>34.51</c:v>
                </c:pt>
                <c:pt idx="146">
                  <c:v>34.89</c:v>
                </c:pt>
                <c:pt idx="147">
                  <c:v>35.27</c:v>
                </c:pt>
                <c:pt idx="148">
                  <c:v>35.65000000000001</c:v>
                </c:pt>
                <c:pt idx="149">
                  <c:v>36.03</c:v>
                </c:pt>
                <c:pt idx="150">
                  <c:v>36.41</c:v>
                </c:pt>
                <c:pt idx="151">
                  <c:v>36.74</c:v>
                </c:pt>
                <c:pt idx="152">
                  <c:v>37.07</c:v>
                </c:pt>
                <c:pt idx="153">
                  <c:v>37.3</c:v>
                </c:pt>
                <c:pt idx="154">
                  <c:v>37.63</c:v>
                </c:pt>
                <c:pt idx="155">
                  <c:v>37.96</c:v>
                </c:pt>
                <c:pt idx="156">
                  <c:v>38.28</c:v>
                </c:pt>
                <c:pt idx="157">
                  <c:v>38.51</c:v>
                </c:pt>
                <c:pt idx="158">
                  <c:v>38.84</c:v>
                </c:pt>
                <c:pt idx="159">
                  <c:v>39.17</c:v>
                </c:pt>
                <c:pt idx="160">
                  <c:v>39.5</c:v>
                </c:pt>
                <c:pt idx="161">
                  <c:v>39.73</c:v>
                </c:pt>
                <c:pt idx="162">
                  <c:v>40.06</c:v>
                </c:pt>
                <c:pt idx="163">
                  <c:v>40.48</c:v>
                </c:pt>
                <c:pt idx="164">
                  <c:v>40.71</c:v>
                </c:pt>
                <c:pt idx="165">
                  <c:v>40.73</c:v>
                </c:pt>
                <c:pt idx="166">
                  <c:v>40.96</c:v>
                </c:pt>
                <c:pt idx="167">
                  <c:v>41.18</c:v>
                </c:pt>
                <c:pt idx="168">
                  <c:v>41.4</c:v>
                </c:pt>
                <c:pt idx="169">
                  <c:v>41.63</c:v>
                </c:pt>
                <c:pt idx="170">
                  <c:v>41.85</c:v>
                </c:pt>
                <c:pt idx="171">
                  <c:v>42.08</c:v>
                </c:pt>
                <c:pt idx="172">
                  <c:v>42.3</c:v>
                </c:pt>
                <c:pt idx="173">
                  <c:v>42.53</c:v>
                </c:pt>
                <c:pt idx="174">
                  <c:v>42.75</c:v>
                </c:pt>
                <c:pt idx="175">
                  <c:v>42.82</c:v>
                </c:pt>
                <c:pt idx="176">
                  <c:v>42.9</c:v>
                </c:pt>
                <c:pt idx="177">
                  <c:v>43.07</c:v>
                </c:pt>
                <c:pt idx="178">
                  <c:v>43.15000000000001</c:v>
                </c:pt>
                <c:pt idx="179">
                  <c:v>43.22</c:v>
                </c:pt>
                <c:pt idx="180">
                  <c:v>43.29</c:v>
                </c:pt>
                <c:pt idx="181">
                  <c:v>43.37</c:v>
                </c:pt>
                <c:pt idx="182">
                  <c:v>43.44</c:v>
                </c:pt>
                <c:pt idx="183">
                  <c:v>43.62</c:v>
                </c:pt>
                <c:pt idx="184">
                  <c:v>43.69</c:v>
                </c:pt>
                <c:pt idx="185">
                  <c:v>43.77</c:v>
                </c:pt>
                <c:pt idx="186">
                  <c:v>43.84</c:v>
                </c:pt>
                <c:pt idx="187">
                  <c:v>43.98</c:v>
                </c:pt>
                <c:pt idx="188">
                  <c:v>44.11</c:v>
                </c:pt>
                <c:pt idx="189">
                  <c:v>44.15</c:v>
                </c:pt>
                <c:pt idx="190">
                  <c:v>44.29</c:v>
                </c:pt>
                <c:pt idx="191">
                  <c:v>44.43</c:v>
                </c:pt>
                <c:pt idx="192">
                  <c:v>44.56</c:v>
                </c:pt>
                <c:pt idx="193">
                  <c:v>44.6</c:v>
                </c:pt>
                <c:pt idx="194">
                  <c:v>44.74</c:v>
                </c:pt>
                <c:pt idx="195">
                  <c:v>44.88</c:v>
                </c:pt>
                <c:pt idx="196">
                  <c:v>45.01</c:v>
                </c:pt>
                <c:pt idx="197">
                  <c:v>45.05</c:v>
                </c:pt>
                <c:pt idx="198">
                  <c:v>45.19</c:v>
                </c:pt>
                <c:pt idx="199">
                  <c:v>45.18</c:v>
                </c:pt>
                <c:pt idx="200">
                  <c:v>45.18</c:v>
                </c:pt>
                <c:pt idx="201">
                  <c:v>45.17</c:v>
                </c:pt>
                <c:pt idx="202">
                  <c:v>45.16</c:v>
                </c:pt>
                <c:pt idx="203">
                  <c:v>45.16</c:v>
                </c:pt>
                <c:pt idx="204">
                  <c:v>45.25</c:v>
                </c:pt>
                <c:pt idx="205">
                  <c:v>45.24</c:v>
                </c:pt>
                <c:pt idx="206">
                  <c:v>45.24</c:v>
                </c:pt>
                <c:pt idx="207">
                  <c:v>45.23</c:v>
                </c:pt>
                <c:pt idx="208">
                  <c:v>45.22</c:v>
                </c:pt>
                <c:pt idx="209">
                  <c:v>45.22</c:v>
                </c:pt>
                <c:pt idx="210">
                  <c:v>45.21</c:v>
                </c:pt>
              </c:numCache>
            </c:numRef>
          </c:yVal>
          <c:smooth val="0"/>
        </c:ser>
        <c:ser>
          <c:idx val="11"/>
          <c:order val="11"/>
          <c:tx>
            <c:strRef>
              <c:f>成長曲線_データ!$T$2</c:f>
              <c:strCache>
                <c:ptCount val="1"/>
                <c:pt idx="0">
                  <c:v>-2SD</c:v>
                </c:pt>
              </c:strCache>
            </c:strRef>
          </c:tx>
          <c:spPr>
            <a:ln w="127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成長曲線_データ!$T$4:$T$214</c:f>
              <c:numCache>
                <c:formatCode>General</c:formatCode>
                <c:ptCount val="211"/>
                <c:pt idx="0">
                  <c:v>2.2</c:v>
                </c:pt>
                <c:pt idx="1">
                  <c:v>3.08</c:v>
                </c:pt>
                <c:pt idx="2">
                  <c:v>4.0</c:v>
                </c:pt>
                <c:pt idx="3">
                  <c:v>4.68</c:v>
                </c:pt>
                <c:pt idx="4">
                  <c:v>5.1</c:v>
                </c:pt>
                <c:pt idx="5">
                  <c:v>5.34</c:v>
                </c:pt>
                <c:pt idx="6">
                  <c:v>5.92</c:v>
                </c:pt>
                <c:pt idx="7">
                  <c:v>6.199999999999999</c:v>
                </c:pt>
                <c:pt idx="8">
                  <c:v>6.24</c:v>
                </c:pt>
                <c:pt idx="9">
                  <c:v>6.399999999999999</c:v>
                </c:pt>
                <c:pt idx="10">
                  <c:v>6.76</c:v>
                </c:pt>
                <c:pt idx="11">
                  <c:v>6.78</c:v>
                </c:pt>
                <c:pt idx="12">
                  <c:v>6.78</c:v>
                </c:pt>
                <c:pt idx="13">
                  <c:v>7.2</c:v>
                </c:pt>
                <c:pt idx="14">
                  <c:v>7.319999999999999</c:v>
                </c:pt>
                <c:pt idx="15">
                  <c:v>7.380000000000001</c:v>
                </c:pt>
                <c:pt idx="16">
                  <c:v>7.64</c:v>
                </c:pt>
                <c:pt idx="17">
                  <c:v>7.719999999999999</c:v>
                </c:pt>
                <c:pt idx="18">
                  <c:v>7.84</c:v>
                </c:pt>
                <c:pt idx="19">
                  <c:v>8.059999999999998</c:v>
                </c:pt>
                <c:pt idx="20">
                  <c:v>8.24</c:v>
                </c:pt>
                <c:pt idx="21">
                  <c:v>8.32</c:v>
                </c:pt>
                <c:pt idx="22">
                  <c:v>8.32</c:v>
                </c:pt>
                <c:pt idx="23">
                  <c:v>8.54</c:v>
                </c:pt>
                <c:pt idx="24">
                  <c:v>8.76</c:v>
                </c:pt>
                <c:pt idx="25">
                  <c:v>8.84</c:v>
                </c:pt>
                <c:pt idx="26">
                  <c:v>8.9</c:v>
                </c:pt>
                <c:pt idx="27">
                  <c:v>8.879999999999998</c:v>
                </c:pt>
                <c:pt idx="28">
                  <c:v>9.120000000000001</c:v>
                </c:pt>
                <c:pt idx="29">
                  <c:v>9.28</c:v>
                </c:pt>
                <c:pt idx="30">
                  <c:v>9.42</c:v>
                </c:pt>
                <c:pt idx="31">
                  <c:v>9.48</c:v>
                </c:pt>
                <c:pt idx="32">
                  <c:v>9.620000000000001</c:v>
                </c:pt>
                <c:pt idx="33">
                  <c:v>9.78</c:v>
                </c:pt>
                <c:pt idx="34">
                  <c:v>9.8</c:v>
                </c:pt>
                <c:pt idx="35">
                  <c:v>9.94</c:v>
                </c:pt>
                <c:pt idx="36">
                  <c:v>9.96</c:v>
                </c:pt>
                <c:pt idx="37">
                  <c:v>10.08</c:v>
                </c:pt>
                <c:pt idx="38">
                  <c:v>10.12</c:v>
                </c:pt>
                <c:pt idx="39">
                  <c:v>10.24</c:v>
                </c:pt>
                <c:pt idx="40">
                  <c:v>10.44</c:v>
                </c:pt>
                <c:pt idx="41">
                  <c:v>10.54</c:v>
                </c:pt>
                <c:pt idx="42">
                  <c:v>10.74</c:v>
                </c:pt>
                <c:pt idx="43">
                  <c:v>10.96</c:v>
                </c:pt>
                <c:pt idx="44">
                  <c:v>11.06</c:v>
                </c:pt>
                <c:pt idx="45">
                  <c:v>11.26</c:v>
                </c:pt>
                <c:pt idx="46">
                  <c:v>11.24</c:v>
                </c:pt>
                <c:pt idx="47">
                  <c:v>11.2</c:v>
                </c:pt>
                <c:pt idx="48">
                  <c:v>11.18</c:v>
                </c:pt>
                <c:pt idx="49">
                  <c:v>11.16</c:v>
                </c:pt>
                <c:pt idx="50">
                  <c:v>11.12</c:v>
                </c:pt>
                <c:pt idx="51">
                  <c:v>11.1</c:v>
                </c:pt>
                <c:pt idx="52">
                  <c:v>11.3</c:v>
                </c:pt>
                <c:pt idx="53">
                  <c:v>11.62</c:v>
                </c:pt>
                <c:pt idx="54">
                  <c:v>11.92</c:v>
                </c:pt>
                <c:pt idx="55">
                  <c:v>12.12</c:v>
                </c:pt>
                <c:pt idx="56">
                  <c:v>12.44</c:v>
                </c:pt>
                <c:pt idx="57">
                  <c:v>12.74</c:v>
                </c:pt>
                <c:pt idx="58">
                  <c:v>12.76</c:v>
                </c:pt>
                <c:pt idx="59">
                  <c:v>12.76</c:v>
                </c:pt>
                <c:pt idx="60">
                  <c:v>12.78</c:v>
                </c:pt>
                <c:pt idx="61">
                  <c:v>12.8</c:v>
                </c:pt>
                <c:pt idx="62">
                  <c:v>12.8</c:v>
                </c:pt>
                <c:pt idx="63">
                  <c:v>12.82</c:v>
                </c:pt>
                <c:pt idx="64">
                  <c:v>12.86</c:v>
                </c:pt>
                <c:pt idx="65">
                  <c:v>12.92</c:v>
                </c:pt>
                <c:pt idx="66">
                  <c:v>13.06</c:v>
                </c:pt>
                <c:pt idx="67">
                  <c:v>13.1</c:v>
                </c:pt>
                <c:pt idx="68">
                  <c:v>13.16</c:v>
                </c:pt>
                <c:pt idx="69">
                  <c:v>13.2</c:v>
                </c:pt>
                <c:pt idx="70">
                  <c:v>13.32</c:v>
                </c:pt>
                <c:pt idx="71">
                  <c:v>13.44</c:v>
                </c:pt>
                <c:pt idx="72">
                  <c:v>13.56</c:v>
                </c:pt>
                <c:pt idx="73">
                  <c:v>13.68</c:v>
                </c:pt>
                <c:pt idx="74">
                  <c:v>13.82</c:v>
                </c:pt>
                <c:pt idx="75">
                  <c:v>13.84</c:v>
                </c:pt>
                <c:pt idx="76">
                  <c:v>13.96</c:v>
                </c:pt>
                <c:pt idx="77">
                  <c:v>14.08</c:v>
                </c:pt>
                <c:pt idx="78">
                  <c:v>14.2</c:v>
                </c:pt>
                <c:pt idx="79">
                  <c:v>14.28</c:v>
                </c:pt>
                <c:pt idx="80">
                  <c:v>14.38</c:v>
                </c:pt>
                <c:pt idx="81">
                  <c:v>14.46</c:v>
                </c:pt>
                <c:pt idx="82">
                  <c:v>14.56</c:v>
                </c:pt>
                <c:pt idx="83">
                  <c:v>14.64</c:v>
                </c:pt>
                <c:pt idx="84">
                  <c:v>14.72</c:v>
                </c:pt>
                <c:pt idx="85">
                  <c:v>14.92</c:v>
                </c:pt>
                <c:pt idx="86">
                  <c:v>15.0</c:v>
                </c:pt>
                <c:pt idx="87">
                  <c:v>15.1</c:v>
                </c:pt>
                <c:pt idx="88">
                  <c:v>15.18</c:v>
                </c:pt>
                <c:pt idx="89">
                  <c:v>15.28</c:v>
                </c:pt>
                <c:pt idx="90">
                  <c:v>15.36</c:v>
                </c:pt>
                <c:pt idx="91">
                  <c:v>15.48</c:v>
                </c:pt>
                <c:pt idx="92">
                  <c:v>15.52</c:v>
                </c:pt>
                <c:pt idx="93">
                  <c:v>15.64</c:v>
                </c:pt>
                <c:pt idx="94">
                  <c:v>15.76</c:v>
                </c:pt>
                <c:pt idx="95">
                  <c:v>15.8</c:v>
                </c:pt>
                <c:pt idx="96">
                  <c:v>15.92</c:v>
                </c:pt>
                <c:pt idx="97">
                  <c:v>16.04</c:v>
                </c:pt>
                <c:pt idx="98">
                  <c:v>16.08</c:v>
                </c:pt>
                <c:pt idx="99">
                  <c:v>16.2</c:v>
                </c:pt>
                <c:pt idx="100">
                  <c:v>16.32</c:v>
                </c:pt>
                <c:pt idx="101">
                  <c:v>16.36</c:v>
                </c:pt>
                <c:pt idx="102">
                  <c:v>16.48</c:v>
                </c:pt>
                <c:pt idx="103">
                  <c:v>16.58</c:v>
                </c:pt>
                <c:pt idx="104">
                  <c:v>16.7</c:v>
                </c:pt>
                <c:pt idx="105">
                  <c:v>16.8</c:v>
                </c:pt>
                <c:pt idx="106">
                  <c:v>16.92</c:v>
                </c:pt>
                <c:pt idx="107">
                  <c:v>17.02</c:v>
                </c:pt>
                <c:pt idx="108">
                  <c:v>17.22</c:v>
                </c:pt>
                <c:pt idx="109">
                  <c:v>17.34</c:v>
                </c:pt>
                <c:pt idx="110">
                  <c:v>17.44</c:v>
                </c:pt>
                <c:pt idx="111">
                  <c:v>17.56</c:v>
                </c:pt>
                <c:pt idx="112">
                  <c:v>17.66</c:v>
                </c:pt>
                <c:pt idx="113">
                  <c:v>17.78</c:v>
                </c:pt>
                <c:pt idx="114">
                  <c:v>17.88</c:v>
                </c:pt>
                <c:pt idx="115">
                  <c:v>18.1</c:v>
                </c:pt>
                <c:pt idx="116">
                  <c:v>18.22</c:v>
                </c:pt>
                <c:pt idx="117">
                  <c:v>18.42</c:v>
                </c:pt>
                <c:pt idx="118">
                  <c:v>18.54</c:v>
                </c:pt>
                <c:pt idx="119">
                  <c:v>18.76</c:v>
                </c:pt>
                <c:pt idx="120">
                  <c:v>18.88</c:v>
                </c:pt>
                <c:pt idx="121">
                  <c:v>19.1</c:v>
                </c:pt>
                <c:pt idx="122">
                  <c:v>19.22</c:v>
                </c:pt>
                <c:pt idx="123">
                  <c:v>19.42</c:v>
                </c:pt>
                <c:pt idx="124">
                  <c:v>19.54</c:v>
                </c:pt>
                <c:pt idx="125">
                  <c:v>19.76</c:v>
                </c:pt>
                <c:pt idx="126">
                  <c:v>19.88</c:v>
                </c:pt>
                <c:pt idx="127">
                  <c:v>20.14</c:v>
                </c:pt>
                <c:pt idx="128">
                  <c:v>20.5</c:v>
                </c:pt>
                <c:pt idx="129">
                  <c:v>20.76000000000001</c:v>
                </c:pt>
                <c:pt idx="130">
                  <c:v>21.02</c:v>
                </c:pt>
                <c:pt idx="131">
                  <c:v>21.38</c:v>
                </c:pt>
                <c:pt idx="132">
                  <c:v>21.64</c:v>
                </c:pt>
                <c:pt idx="133">
                  <c:v>21.9</c:v>
                </c:pt>
                <c:pt idx="134">
                  <c:v>22.26</c:v>
                </c:pt>
                <c:pt idx="135">
                  <c:v>22.52</c:v>
                </c:pt>
                <c:pt idx="136">
                  <c:v>22.78</c:v>
                </c:pt>
                <c:pt idx="137">
                  <c:v>23.14</c:v>
                </c:pt>
                <c:pt idx="138">
                  <c:v>23.4</c:v>
                </c:pt>
                <c:pt idx="139">
                  <c:v>23.76</c:v>
                </c:pt>
                <c:pt idx="140">
                  <c:v>24.12</c:v>
                </c:pt>
                <c:pt idx="141">
                  <c:v>24.48</c:v>
                </c:pt>
                <c:pt idx="142">
                  <c:v>24.84</c:v>
                </c:pt>
                <c:pt idx="143">
                  <c:v>25.2</c:v>
                </c:pt>
                <c:pt idx="144">
                  <c:v>25.66</c:v>
                </c:pt>
                <c:pt idx="145">
                  <c:v>26.02</c:v>
                </c:pt>
                <c:pt idx="146">
                  <c:v>26.38</c:v>
                </c:pt>
                <c:pt idx="147">
                  <c:v>26.74</c:v>
                </c:pt>
                <c:pt idx="148">
                  <c:v>27.1</c:v>
                </c:pt>
                <c:pt idx="149">
                  <c:v>27.46</c:v>
                </c:pt>
                <c:pt idx="150">
                  <c:v>27.82</c:v>
                </c:pt>
                <c:pt idx="151">
                  <c:v>28.18</c:v>
                </c:pt>
                <c:pt idx="152">
                  <c:v>28.54</c:v>
                </c:pt>
                <c:pt idx="153">
                  <c:v>28.8</c:v>
                </c:pt>
                <c:pt idx="154">
                  <c:v>29.16</c:v>
                </c:pt>
                <c:pt idx="155">
                  <c:v>29.52</c:v>
                </c:pt>
                <c:pt idx="156">
                  <c:v>29.86</c:v>
                </c:pt>
                <c:pt idx="157">
                  <c:v>30.12</c:v>
                </c:pt>
                <c:pt idx="158">
                  <c:v>30.48</c:v>
                </c:pt>
                <c:pt idx="159">
                  <c:v>30.84</c:v>
                </c:pt>
                <c:pt idx="160">
                  <c:v>31.2</c:v>
                </c:pt>
                <c:pt idx="161">
                  <c:v>31.46</c:v>
                </c:pt>
                <c:pt idx="162">
                  <c:v>31.82</c:v>
                </c:pt>
                <c:pt idx="163">
                  <c:v>32.26</c:v>
                </c:pt>
                <c:pt idx="164">
                  <c:v>32.52</c:v>
                </c:pt>
                <c:pt idx="165">
                  <c:v>32.56</c:v>
                </c:pt>
                <c:pt idx="166">
                  <c:v>32.82</c:v>
                </c:pt>
                <c:pt idx="167">
                  <c:v>33.06</c:v>
                </c:pt>
                <c:pt idx="168">
                  <c:v>33.3</c:v>
                </c:pt>
                <c:pt idx="169">
                  <c:v>33.56</c:v>
                </c:pt>
                <c:pt idx="170">
                  <c:v>33.8</c:v>
                </c:pt>
                <c:pt idx="171">
                  <c:v>34.06</c:v>
                </c:pt>
                <c:pt idx="172">
                  <c:v>34.3</c:v>
                </c:pt>
                <c:pt idx="173">
                  <c:v>34.56</c:v>
                </c:pt>
                <c:pt idx="174">
                  <c:v>34.8</c:v>
                </c:pt>
                <c:pt idx="175">
                  <c:v>34.84</c:v>
                </c:pt>
                <c:pt idx="176">
                  <c:v>34.9</c:v>
                </c:pt>
                <c:pt idx="177">
                  <c:v>35.04000000000001</c:v>
                </c:pt>
                <c:pt idx="178">
                  <c:v>35.1</c:v>
                </c:pt>
                <c:pt idx="179">
                  <c:v>35.14</c:v>
                </c:pt>
                <c:pt idx="180">
                  <c:v>35.18</c:v>
                </c:pt>
                <c:pt idx="181">
                  <c:v>35.24</c:v>
                </c:pt>
                <c:pt idx="182">
                  <c:v>35.28</c:v>
                </c:pt>
                <c:pt idx="183">
                  <c:v>35.44</c:v>
                </c:pt>
                <c:pt idx="184">
                  <c:v>35.48</c:v>
                </c:pt>
                <c:pt idx="185">
                  <c:v>35.54</c:v>
                </c:pt>
                <c:pt idx="186">
                  <c:v>35.58</c:v>
                </c:pt>
                <c:pt idx="187">
                  <c:v>35.76</c:v>
                </c:pt>
                <c:pt idx="188">
                  <c:v>35.92</c:v>
                </c:pt>
                <c:pt idx="189">
                  <c:v>36.0</c:v>
                </c:pt>
                <c:pt idx="190">
                  <c:v>36.18</c:v>
                </c:pt>
                <c:pt idx="191">
                  <c:v>36.36</c:v>
                </c:pt>
                <c:pt idx="192">
                  <c:v>36.52</c:v>
                </c:pt>
                <c:pt idx="193">
                  <c:v>36.6</c:v>
                </c:pt>
                <c:pt idx="194">
                  <c:v>36.78</c:v>
                </c:pt>
                <c:pt idx="195">
                  <c:v>36.96</c:v>
                </c:pt>
                <c:pt idx="196">
                  <c:v>37.12</c:v>
                </c:pt>
                <c:pt idx="197">
                  <c:v>37.2</c:v>
                </c:pt>
                <c:pt idx="198">
                  <c:v>37.38</c:v>
                </c:pt>
                <c:pt idx="199">
                  <c:v>37.36</c:v>
                </c:pt>
                <c:pt idx="200">
                  <c:v>37.36</c:v>
                </c:pt>
                <c:pt idx="201">
                  <c:v>37.34</c:v>
                </c:pt>
                <c:pt idx="202">
                  <c:v>37.32</c:v>
                </c:pt>
                <c:pt idx="203">
                  <c:v>37.32</c:v>
                </c:pt>
                <c:pt idx="204">
                  <c:v>37.40000000000001</c:v>
                </c:pt>
                <c:pt idx="205">
                  <c:v>37.38</c:v>
                </c:pt>
                <c:pt idx="206">
                  <c:v>37.38</c:v>
                </c:pt>
                <c:pt idx="207">
                  <c:v>37.36</c:v>
                </c:pt>
                <c:pt idx="208">
                  <c:v>37.34</c:v>
                </c:pt>
                <c:pt idx="209">
                  <c:v>37.34</c:v>
                </c:pt>
                <c:pt idx="210">
                  <c:v>37.32</c:v>
                </c:pt>
              </c:numCache>
            </c:numRef>
          </c:yVal>
          <c:smooth val="0"/>
        </c:ser>
        <c:ser>
          <c:idx val="13"/>
          <c:order val="13"/>
          <c:tx>
            <c:strRef>
              <c:f>入力!$V$11</c:f>
              <c:strCache>
                <c:ptCount val="1"/>
                <c:pt idx="0">
                  <c:v> 体重</c:v>
                </c:pt>
              </c:strCache>
            </c:strRef>
          </c:tx>
          <c:spPr>
            <a:ln>
              <a:noFill/>
            </a:ln>
          </c:spPr>
          <c:marker>
            <c:symbol val="square"/>
            <c:size val="7"/>
            <c:spPr>
              <a:solidFill>
                <a:srgbClr val="0033CC"/>
              </a:solidFill>
              <a:ln w="19050">
                <a:solidFill>
                  <a:sysClr val="window" lastClr="FFFFFF"/>
                </a:solidFill>
              </a:ln>
            </c:spPr>
          </c:marker>
          <c:xVal>
            <c:numRef>
              <c:f>入力!$W$7:$W$156</c:f>
              <c:numCache>
                <c:formatCode>0.00_);[Red]\(0.00\)</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入力!$C$7:$C$156</c:f>
              <c:numCache>
                <c:formatCode>General</c:formatCode>
                <c:ptCount val="150"/>
              </c:numCache>
            </c:numRef>
          </c:yVal>
          <c:smooth val="0"/>
        </c:ser>
        <c:dLbls>
          <c:showLegendKey val="0"/>
          <c:showVal val="0"/>
          <c:showCatName val="0"/>
          <c:showSerName val="0"/>
          <c:showPercent val="0"/>
          <c:showBubbleSize val="0"/>
        </c:dLbls>
        <c:axId val="-929496384"/>
        <c:axId val="-881947040"/>
      </c:scatterChart>
      <c:valAx>
        <c:axId val="-882264048"/>
        <c:scaling>
          <c:orientation val="minMax"/>
          <c:max val="18.0"/>
        </c:scaling>
        <c:delete val="0"/>
        <c:axPos val="b"/>
        <c:majorGridlines/>
        <c:title>
          <c:tx>
            <c:rich>
              <a:bodyPr/>
              <a:lstStyle/>
              <a:p>
                <a:pPr>
                  <a:defRPr/>
                </a:pPr>
                <a:r>
                  <a:rPr lang="ja-JP" altLang="en-US"/>
                  <a:t>年齢</a:t>
                </a:r>
                <a:r>
                  <a:rPr lang="en-US" altLang="ja-JP"/>
                  <a:t>(</a:t>
                </a:r>
                <a:r>
                  <a:rPr lang="ja-JP" altLang="en-US"/>
                  <a:t>年</a:t>
                </a:r>
                <a:r>
                  <a:rPr lang="en-US" altLang="ja-JP"/>
                  <a:t>)</a:t>
                </a:r>
                <a:endParaRPr lang="ja-JP" altLang="en-US"/>
              </a:p>
            </c:rich>
          </c:tx>
          <c:overlay val="0"/>
        </c:title>
        <c:numFmt formatCode="General" sourceLinked="0"/>
        <c:majorTickMark val="out"/>
        <c:minorTickMark val="none"/>
        <c:tickLblPos val="nextTo"/>
        <c:crossAx val="-882784576"/>
        <c:crosses val="autoZero"/>
        <c:crossBetween val="midCat"/>
        <c:majorUnit val="1.0"/>
      </c:valAx>
      <c:valAx>
        <c:axId val="-882784576"/>
        <c:scaling>
          <c:orientation val="minMax"/>
          <c:max val="190.0"/>
          <c:min val="40.0"/>
        </c:scaling>
        <c:delete val="0"/>
        <c:axPos val="l"/>
        <c:majorGridlines/>
        <c:minorGridlines/>
        <c:title>
          <c:tx>
            <c:rich>
              <a:bodyPr rot="-5400000" vert="horz"/>
              <a:lstStyle/>
              <a:p>
                <a:pPr>
                  <a:defRPr/>
                </a:pPr>
                <a:r>
                  <a:rPr lang="ja-JP" altLang="en-US"/>
                  <a:t>身長</a:t>
                </a:r>
                <a:r>
                  <a:rPr lang="en-US" altLang="ja-JP"/>
                  <a:t>(cm)</a:t>
                </a:r>
                <a:endParaRPr lang="ja-JP" altLang="en-US"/>
              </a:p>
            </c:rich>
          </c:tx>
          <c:overlay val="0"/>
        </c:title>
        <c:numFmt formatCode="General" sourceLinked="1"/>
        <c:majorTickMark val="out"/>
        <c:minorTickMark val="none"/>
        <c:tickLblPos val="nextTo"/>
        <c:crossAx val="-882264048"/>
        <c:crosses val="autoZero"/>
        <c:crossBetween val="midCat"/>
        <c:majorUnit val="10.0"/>
        <c:minorUnit val="5.0"/>
      </c:valAx>
      <c:valAx>
        <c:axId val="-881947040"/>
        <c:scaling>
          <c:orientation val="minMax"/>
          <c:max val="150.0"/>
        </c:scaling>
        <c:delete val="0"/>
        <c:axPos val="r"/>
        <c:title>
          <c:tx>
            <c:rich>
              <a:bodyPr rot="-5400000" vert="horz"/>
              <a:lstStyle/>
              <a:p>
                <a:pPr>
                  <a:defRPr/>
                </a:pPr>
                <a:r>
                  <a:rPr lang="ja-JP" altLang="en-US"/>
                  <a:t>体重</a:t>
                </a:r>
                <a:r>
                  <a:rPr lang="en-US" altLang="ja-JP"/>
                  <a:t>(kg)</a:t>
                </a:r>
                <a:endParaRPr lang="ja-JP" altLang="en-US"/>
              </a:p>
            </c:rich>
          </c:tx>
          <c:layout>
            <c:manualLayout>
              <c:xMode val="edge"/>
              <c:yMode val="edge"/>
              <c:x val="0.944718137254902"/>
              <c:y val="0.406688425925929"/>
            </c:manualLayout>
          </c:layout>
          <c:overlay val="0"/>
        </c:title>
        <c:numFmt formatCode="General" sourceLinked="1"/>
        <c:majorTickMark val="out"/>
        <c:minorTickMark val="none"/>
        <c:tickLblPos val="nextTo"/>
        <c:crossAx val="-929496384"/>
        <c:crosses val="max"/>
        <c:crossBetween val="midCat"/>
        <c:majorUnit val="10.0"/>
      </c:valAx>
      <c:valAx>
        <c:axId val="-929496384"/>
        <c:scaling>
          <c:orientation val="minMax"/>
        </c:scaling>
        <c:delete val="1"/>
        <c:axPos val="b"/>
        <c:numFmt formatCode="0.00_ " sourceLinked="1"/>
        <c:majorTickMark val="out"/>
        <c:minorTickMark val="none"/>
        <c:tickLblPos val="none"/>
        <c:crossAx val="-881947040"/>
        <c:crosses val="autoZero"/>
        <c:crossBetween val="midCat"/>
      </c:valAx>
    </c:plotArea>
    <c:legend>
      <c:legendPos val="b"/>
      <c:layout>
        <c:manualLayout>
          <c:xMode val="edge"/>
          <c:yMode val="edge"/>
          <c:x val="0.118688725490196"/>
          <c:y val="0.0846170138888889"/>
          <c:w val="0.272883986928107"/>
          <c:h val="0.299491782407407"/>
        </c:manualLayout>
      </c:layout>
      <c:overlay val="0"/>
      <c:spPr>
        <a:solidFill>
          <a:schemeClr val="bg1"/>
        </a:solidFill>
        <a:ln>
          <a:solidFill>
            <a:schemeClr val="tx1"/>
          </a:solidFill>
        </a:ln>
      </c:spPr>
    </c:legend>
    <c:plotVisOnly val="1"/>
    <c:dispBlanksAs val="span"/>
    <c:showDLblsOverMax val="0"/>
  </c:chart>
  <c:printSettings>
    <c:headerFooter/>
    <c:pageMargins b="0.750000000000008" l="0.700000000000001" r="0.700000000000001" t="0.750000000000008"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頭囲データ!$A$7</c:f>
          <c:strCache>
            <c:ptCount val="1"/>
            <c:pt idx="0">
              <c:v>幼児（子）身体発育曲線（頭囲）</c:v>
            </c:pt>
          </c:strCache>
        </c:strRef>
      </c:tx>
      <c:overlay val="0"/>
      <c:txPr>
        <a:bodyPr/>
        <a:lstStyle/>
        <a:p>
          <a:pPr>
            <a:defRPr sz="1600"/>
          </a:pPr>
          <a:endParaRPr lang="ja-JP"/>
        </a:p>
      </c:txPr>
    </c:title>
    <c:autoTitleDeleted val="0"/>
    <c:plotArea>
      <c:layout>
        <c:manualLayout>
          <c:layoutTarget val="inner"/>
          <c:xMode val="edge"/>
          <c:yMode val="edge"/>
          <c:x val="0.125793055555556"/>
          <c:y val="0.11386568627451"/>
          <c:w val="0.738643518518521"/>
          <c:h val="0.760571568627451"/>
        </c:manualLayout>
      </c:layout>
      <c:scatterChart>
        <c:scatterStyle val="lineMarker"/>
        <c:varyColors val="0"/>
        <c:ser>
          <c:idx val="0"/>
          <c:order val="0"/>
          <c:tx>
            <c:strRef>
              <c:f>頭囲データ!$I$26</c:f>
              <c:strCache>
                <c:ptCount val="1"/>
                <c:pt idx="0">
                  <c:v>3%tile</c:v>
                </c:pt>
              </c:strCache>
            </c:strRef>
          </c:tx>
          <c:spPr>
            <a:ln w="9525">
              <a:solidFill>
                <a:schemeClr val="tx1"/>
              </a:solidFill>
            </a:ln>
          </c:spPr>
          <c:marker>
            <c:symbol val="none"/>
          </c:marker>
          <c:dLbls>
            <c:dLbl>
              <c:idx val="13"/>
              <c:layout>
                <c:manualLayout>
                  <c:x val="0.555625000000001"/>
                  <c:y val="-0.114133986928105"/>
                </c:manualLayout>
              </c:layout>
              <c:tx>
                <c:strRef>
                  <c:f>頭囲データ!$I$9</c:f>
                  <c:strCache>
                    <c:ptCount val="1"/>
                    <c:pt idx="0">
                      <c:v>3%tile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{262B3BFC-FA1F-354B-838F-65C0AA52681C}</c15:txfldGUID>
                      <c15:f>頭囲データ!$I$9</c15:f>
                      <c15:dlblFieldTableCache>
                        <c:ptCount val="1"/>
                        <c:pt idx="0">
                          <c:v>3%tile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頭囲データ!$H$27:$H$48</c:f>
              <c:numCache>
                <c:formatCode>General</c:formatCode>
                <c:ptCount val="22"/>
                <c:pt idx="0">
                  <c:v>0.958333333333333</c:v>
                </c:pt>
                <c:pt idx="1">
                  <c:v>1.041666666666667</c:v>
                </c:pt>
                <c:pt idx="2">
                  <c:v>1.125</c:v>
                </c:pt>
                <c:pt idx="3">
                  <c:v>1.208333333333333</c:v>
                </c:pt>
                <c:pt idx="4">
                  <c:v>1.291666666666666</c:v>
                </c:pt>
                <c:pt idx="5">
                  <c:v>1.375</c:v>
                </c:pt>
                <c:pt idx="6">
                  <c:v>1.458333333333333</c:v>
                </c:pt>
                <c:pt idx="7">
                  <c:v>1.541666666666666</c:v>
                </c:pt>
                <c:pt idx="8">
                  <c:v>1.624999999999999</c:v>
                </c:pt>
                <c:pt idx="9">
                  <c:v>1.708333333333333</c:v>
                </c:pt>
                <c:pt idx="10">
                  <c:v>1.791666666666666</c:v>
                </c:pt>
                <c:pt idx="11">
                  <c:v>1.874999999999999</c:v>
                </c:pt>
                <c:pt idx="12">
                  <c:v>1.958333333333333</c:v>
                </c:pt>
                <c:pt idx="13">
                  <c:v>2.25</c:v>
                </c:pt>
                <c:pt idx="14">
                  <c:v>2.75</c:v>
                </c:pt>
                <c:pt idx="15">
                  <c:v>3.25</c:v>
                </c:pt>
                <c:pt idx="16">
                  <c:v>3.75</c:v>
                </c:pt>
                <c:pt idx="17">
                  <c:v>4.25</c:v>
                </c:pt>
                <c:pt idx="18">
                  <c:v>4.75</c:v>
                </c:pt>
                <c:pt idx="19">
                  <c:v>5.25</c:v>
                </c:pt>
                <c:pt idx="20">
                  <c:v>5.75</c:v>
                </c:pt>
                <c:pt idx="21">
                  <c:v>6.25</c:v>
                </c:pt>
              </c:numCache>
            </c:numRef>
          </c:xVal>
          <c:yVal>
            <c:numRef>
              <c:f>頭囲データ!$I$27:$I$48</c:f>
              <c:numCache>
                <c:formatCode>General</c:formatCode>
                <c:ptCount val="22"/>
                <c:pt idx="0">
                  <c:v>42.2</c:v>
                </c:pt>
                <c:pt idx="1">
                  <c:v>42.5</c:v>
                </c:pt>
                <c:pt idx="2">
                  <c:v>42.8</c:v>
                </c:pt>
                <c:pt idx="3">
                  <c:v>43.1</c:v>
                </c:pt>
                <c:pt idx="4">
                  <c:v>43.3</c:v>
                </c:pt>
                <c:pt idx="5">
                  <c:v>43.5</c:v>
                </c:pt>
                <c:pt idx="6">
                  <c:v>43.6</c:v>
                </c:pt>
                <c:pt idx="7">
                  <c:v>43.8</c:v>
                </c:pt>
                <c:pt idx="8">
                  <c:v>43.9</c:v>
                </c:pt>
                <c:pt idx="9">
                  <c:v>44.1</c:v>
                </c:pt>
                <c:pt idx="10">
                  <c:v>44.3</c:v>
                </c:pt>
                <c:pt idx="11">
                  <c:v>44.4</c:v>
                </c:pt>
                <c:pt idx="12">
                  <c:v>44.5</c:v>
                </c:pt>
                <c:pt idx="13">
                  <c:v>45.0</c:v>
                </c:pt>
                <c:pt idx="14">
                  <c:v>45.6</c:v>
                </c:pt>
                <c:pt idx="15">
                  <c:v>46.1</c:v>
                </c:pt>
                <c:pt idx="16">
                  <c:v>46.6</c:v>
                </c:pt>
                <c:pt idx="17">
                  <c:v>47.0</c:v>
                </c:pt>
                <c:pt idx="18">
                  <c:v>47.3</c:v>
                </c:pt>
                <c:pt idx="19">
                  <c:v>47.7</c:v>
                </c:pt>
                <c:pt idx="20">
                  <c:v>48.0</c:v>
                </c:pt>
                <c:pt idx="21">
                  <c:v>48.2</c:v>
                </c:pt>
              </c:numCache>
            </c:numRef>
          </c:yVal>
          <c:smooth val="0"/>
        </c:ser>
        <c:ser>
          <c:idx val="1"/>
          <c:order val="1"/>
          <c:tx>
            <c:strRef>
              <c:f>頭囲データ!$J$26</c:f>
              <c:strCache>
                <c:ptCount val="1"/>
                <c:pt idx="0">
                  <c:v>10%tile</c:v>
                </c:pt>
              </c:strCache>
            </c:strRef>
          </c:tx>
          <c:spPr>
            <a:ln w="9525">
              <a:solidFill>
                <a:schemeClr val="tx1"/>
              </a:solidFill>
            </a:ln>
          </c:spPr>
          <c:marker>
            <c:symbol val="none"/>
          </c:marker>
          <c:dLbls>
            <c:dLbl>
              <c:idx val="13"/>
              <c:layout>
                <c:manualLayout>
                  <c:x val="0.552685185185186"/>
                  <c:y val="-0.11620931372549"/>
                </c:manualLayout>
              </c:layout>
              <c:tx>
                <c:strRef>
                  <c:f>頭囲データ!$J$9</c:f>
                  <c:strCache>
                    <c:ptCount val="1"/>
                    <c:pt idx="0">
                      <c:v>10%tile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{4DC0C6C1-6F0D-8F42-A5A8-F10347466F1F}</c15:txfldGUID>
                      <c15:f>頭囲データ!$J$9</c15:f>
                      <c15:dlblFieldTableCache>
                        <c:ptCount val="1"/>
                        <c:pt idx="0">
                          <c:v>10%tile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頭囲データ!$H$27:$H$48</c:f>
              <c:numCache>
                <c:formatCode>General</c:formatCode>
                <c:ptCount val="22"/>
                <c:pt idx="0">
                  <c:v>0.958333333333333</c:v>
                </c:pt>
                <c:pt idx="1">
                  <c:v>1.041666666666667</c:v>
                </c:pt>
                <c:pt idx="2">
                  <c:v>1.125</c:v>
                </c:pt>
                <c:pt idx="3">
                  <c:v>1.208333333333333</c:v>
                </c:pt>
                <c:pt idx="4">
                  <c:v>1.291666666666666</c:v>
                </c:pt>
                <c:pt idx="5">
                  <c:v>1.375</c:v>
                </c:pt>
                <c:pt idx="6">
                  <c:v>1.458333333333333</c:v>
                </c:pt>
                <c:pt idx="7">
                  <c:v>1.541666666666666</c:v>
                </c:pt>
                <c:pt idx="8">
                  <c:v>1.624999999999999</c:v>
                </c:pt>
                <c:pt idx="9">
                  <c:v>1.708333333333333</c:v>
                </c:pt>
                <c:pt idx="10">
                  <c:v>1.791666666666666</c:v>
                </c:pt>
                <c:pt idx="11">
                  <c:v>1.874999999999999</c:v>
                </c:pt>
                <c:pt idx="12">
                  <c:v>1.958333333333333</c:v>
                </c:pt>
                <c:pt idx="13">
                  <c:v>2.25</c:v>
                </c:pt>
                <c:pt idx="14">
                  <c:v>2.75</c:v>
                </c:pt>
                <c:pt idx="15">
                  <c:v>3.25</c:v>
                </c:pt>
                <c:pt idx="16">
                  <c:v>3.75</c:v>
                </c:pt>
                <c:pt idx="17">
                  <c:v>4.25</c:v>
                </c:pt>
                <c:pt idx="18">
                  <c:v>4.75</c:v>
                </c:pt>
                <c:pt idx="19">
                  <c:v>5.25</c:v>
                </c:pt>
                <c:pt idx="20">
                  <c:v>5.75</c:v>
                </c:pt>
                <c:pt idx="21">
                  <c:v>6.25</c:v>
                </c:pt>
              </c:numCache>
            </c:numRef>
          </c:xVal>
          <c:yVal>
            <c:numRef>
              <c:f>頭囲データ!$J$27:$J$48</c:f>
              <c:numCache>
                <c:formatCode>General</c:formatCode>
                <c:ptCount val="22"/>
                <c:pt idx="0">
                  <c:v>43.0</c:v>
                </c:pt>
                <c:pt idx="1">
                  <c:v>43.3</c:v>
                </c:pt>
                <c:pt idx="2">
                  <c:v>43.6</c:v>
                </c:pt>
                <c:pt idx="3">
                  <c:v>43.9</c:v>
                </c:pt>
                <c:pt idx="4">
                  <c:v>44.1</c:v>
                </c:pt>
                <c:pt idx="5">
                  <c:v>44.3</c:v>
                </c:pt>
                <c:pt idx="6">
                  <c:v>44.5</c:v>
                </c:pt>
                <c:pt idx="7">
                  <c:v>44.7</c:v>
                </c:pt>
                <c:pt idx="8">
                  <c:v>44.8</c:v>
                </c:pt>
                <c:pt idx="9">
                  <c:v>45.0</c:v>
                </c:pt>
                <c:pt idx="10">
                  <c:v>45.1</c:v>
                </c:pt>
                <c:pt idx="11">
                  <c:v>45.3</c:v>
                </c:pt>
                <c:pt idx="12">
                  <c:v>45.4</c:v>
                </c:pt>
                <c:pt idx="13">
                  <c:v>45.8</c:v>
                </c:pt>
                <c:pt idx="14">
                  <c:v>46.4</c:v>
                </c:pt>
                <c:pt idx="15">
                  <c:v>46.9</c:v>
                </c:pt>
                <c:pt idx="16">
                  <c:v>47.4</c:v>
                </c:pt>
                <c:pt idx="17">
                  <c:v>47.8</c:v>
                </c:pt>
                <c:pt idx="18">
                  <c:v>48.2</c:v>
                </c:pt>
                <c:pt idx="19">
                  <c:v>48.5</c:v>
                </c:pt>
                <c:pt idx="20">
                  <c:v>48.8</c:v>
                </c:pt>
                <c:pt idx="21">
                  <c:v>49.0</c:v>
                </c:pt>
              </c:numCache>
            </c:numRef>
          </c:yVal>
          <c:smooth val="0"/>
        </c:ser>
        <c:ser>
          <c:idx val="2"/>
          <c:order val="2"/>
          <c:tx>
            <c:strRef>
              <c:f>頭囲データ!$K$26</c:f>
              <c:strCache>
                <c:ptCount val="1"/>
                <c:pt idx="0">
                  <c:v>25%tile</c:v>
                </c:pt>
              </c:strCache>
            </c:strRef>
          </c:tx>
          <c:spPr>
            <a:ln w="9525">
              <a:solidFill>
                <a:schemeClr val="tx1"/>
              </a:solidFill>
            </a:ln>
          </c:spPr>
          <c:marker>
            <c:symbol val="none"/>
          </c:marker>
          <c:dLbls>
            <c:dLbl>
              <c:idx val="13"/>
              <c:layout>
                <c:manualLayout>
                  <c:x val="0.549745370370372"/>
                  <c:y val="-0.120359477124183"/>
                </c:manualLayout>
              </c:layout>
              <c:tx>
                <c:strRef>
                  <c:f>頭囲データ!$K$9</c:f>
                  <c:strCache>
                    <c:ptCount val="1"/>
                    <c:pt idx="0">
                      <c:v>25%tile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{3724F9E9-368A-F148-929F-C14C2167E7F1}</c15:txfldGUID>
                      <c15:f>頭囲データ!$K$9</c15:f>
                      <c15:dlblFieldTableCache>
                        <c:ptCount val="1"/>
                        <c:pt idx="0">
                          <c:v>25%tile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頭囲データ!$H$27:$H$48</c:f>
              <c:numCache>
                <c:formatCode>General</c:formatCode>
                <c:ptCount val="22"/>
                <c:pt idx="0">
                  <c:v>0.958333333333333</c:v>
                </c:pt>
                <c:pt idx="1">
                  <c:v>1.041666666666667</c:v>
                </c:pt>
                <c:pt idx="2">
                  <c:v>1.125</c:v>
                </c:pt>
                <c:pt idx="3">
                  <c:v>1.208333333333333</c:v>
                </c:pt>
                <c:pt idx="4">
                  <c:v>1.291666666666666</c:v>
                </c:pt>
                <c:pt idx="5">
                  <c:v>1.375</c:v>
                </c:pt>
                <c:pt idx="6">
                  <c:v>1.458333333333333</c:v>
                </c:pt>
                <c:pt idx="7">
                  <c:v>1.541666666666666</c:v>
                </c:pt>
                <c:pt idx="8">
                  <c:v>1.624999999999999</c:v>
                </c:pt>
                <c:pt idx="9">
                  <c:v>1.708333333333333</c:v>
                </c:pt>
                <c:pt idx="10">
                  <c:v>1.791666666666666</c:v>
                </c:pt>
                <c:pt idx="11">
                  <c:v>1.874999999999999</c:v>
                </c:pt>
                <c:pt idx="12">
                  <c:v>1.958333333333333</c:v>
                </c:pt>
                <c:pt idx="13">
                  <c:v>2.25</c:v>
                </c:pt>
                <c:pt idx="14">
                  <c:v>2.75</c:v>
                </c:pt>
                <c:pt idx="15">
                  <c:v>3.25</c:v>
                </c:pt>
                <c:pt idx="16">
                  <c:v>3.75</c:v>
                </c:pt>
                <c:pt idx="17">
                  <c:v>4.25</c:v>
                </c:pt>
                <c:pt idx="18">
                  <c:v>4.75</c:v>
                </c:pt>
                <c:pt idx="19">
                  <c:v>5.25</c:v>
                </c:pt>
                <c:pt idx="20">
                  <c:v>5.75</c:v>
                </c:pt>
                <c:pt idx="21">
                  <c:v>6.25</c:v>
                </c:pt>
              </c:numCache>
            </c:numRef>
          </c:xVal>
          <c:yVal>
            <c:numRef>
              <c:f>頭囲データ!$K$27:$K$48</c:f>
              <c:numCache>
                <c:formatCode>General</c:formatCode>
                <c:ptCount val="22"/>
                <c:pt idx="0">
                  <c:v>43.8</c:v>
                </c:pt>
                <c:pt idx="1">
                  <c:v>44.1</c:v>
                </c:pt>
                <c:pt idx="2">
                  <c:v>44.5</c:v>
                </c:pt>
                <c:pt idx="3">
                  <c:v>44.7</c:v>
                </c:pt>
                <c:pt idx="4">
                  <c:v>44.9</c:v>
                </c:pt>
                <c:pt idx="5">
                  <c:v>45.2</c:v>
                </c:pt>
                <c:pt idx="6">
                  <c:v>45.4</c:v>
                </c:pt>
                <c:pt idx="7">
                  <c:v>45.6</c:v>
                </c:pt>
                <c:pt idx="8">
                  <c:v>45.7</c:v>
                </c:pt>
                <c:pt idx="9">
                  <c:v>45.9</c:v>
                </c:pt>
                <c:pt idx="10">
                  <c:v>46.0</c:v>
                </c:pt>
                <c:pt idx="11">
                  <c:v>46.1</c:v>
                </c:pt>
                <c:pt idx="12">
                  <c:v>46.2</c:v>
                </c:pt>
                <c:pt idx="13">
                  <c:v>46.6</c:v>
                </c:pt>
                <c:pt idx="14">
                  <c:v>47.2</c:v>
                </c:pt>
                <c:pt idx="15">
                  <c:v>47.8</c:v>
                </c:pt>
                <c:pt idx="16">
                  <c:v>48.2</c:v>
                </c:pt>
                <c:pt idx="17">
                  <c:v>48.6</c:v>
                </c:pt>
                <c:pt idx="18">
                  <c:v>49.0</c:v>
                </c:pt>
                <c:pt idx="19">
                  <c:v>49.4</c:v>
                </c:pt>
                <c:pt idx="20">
                  <c:v>49.7</c:v>
                </c:pt>
                <c:pt idx="21">
                  <c:v>49.9</c:v>
                </c:pt>
              </c:numCache>
            </c:numRef>
          </c:yVal>
          <c:smooth val="0"/>
        </c:ser>
        <c:ser>
          <c:idx val="3"/>
          <c:order val="3"/>
          <c:tx>
            <c:strRef>
              <c:f>頭囲データ!$L$26</c:f>
              <c:strCache>
                <c:ptCount val="1"/>
                <c:pt idx="0">
                  <c:v>50%tile</c:v>
                </c:pt>
              </c:strCache>
            </c:strRef>
          </c:tx>
          <c:spPr>
            <a:ln w="19050">
              <a:solidFill>
                <a:schemeClr val="tx1"/>
              </a:solidFill>
            </a:ln>
          </c:spPr>
          <c:marker>
            <c:symbol val="none"/>
          </c:marker>
          <c:dLbls>
            <c:dLbl>
              <c:idx val="13"/>
              <c:layout>
                <c:manualLayout>
                  <c:x val="0.546805555555557"/>
                  <c:y val="-0.120359477124183"/>
                </c:manualLayout>
              </c:layout>
              <c:tx>
                <c:strRef>
                  <c:f>頭囲データ!$L$9</c:f>
                  <c:strCache>
                    <c:ptCount val="1"/>
                    <c:pt idx="0">
                      <c:v>50%tile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{02849D56-B3F5-4140-808F-1986CCE5DEF0}</c15:txfldGUID>
                      <c15:f>頭囲データ!$L$9</c15:f>
                      <c15:dlblFieldTableCache>
                        <c:ptCount val="1"/>
                        <c:pt idx="0">
                          <c:v>50%tile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頭囲データ!$H$27:$H$48</c:f>
              <c:numCache>
                <c:formatCode>General</c:formatCode>
                <c:ptCount val="22"/>
                <c:pt idx="0">
                  <c:v>0.958333333333333</c:v>
                </c:pt>
                <c:pt idx="1">
                  <c:v>1.041666666666667</c:v>
                </c:pt>
                <c:pt idx="2">
                  <c:v>1.125</c:v>
                </c:pt>
                <c:pt idx="3">
                  <c:v>1.208333333333333</c:v>
                </c:pt>
                <c:pt idx="4">
                  <c:v>1.291666666666666</c:v>
                </c:pt>
                <c:pt idx="5">
                  <c:v>1.375</c:v>
                </c:pt>
                <c:pt idx="6">
                  <c:v>1.458333333333333</c:v>
                </c:pt>
                <c:pt idx="7">
                  <c:v>1.541666666666666</c:v>
                </c:pt>
                <c:pt idx="8">
                  <c:v>1.624999999999999</c:v>
                </c:pt>
                <c:pt idx="9">
                  <c:v>1.708333333333333</c:v>
                </c:pt>
                <c:pt idx="10">
                  <c:v>1.791666666666666</c:v>
                </c:pt>
                <c:pt idx="11">
                  <c:v>1.874999999999999</c:v>
                </c:pt>
                <c:pt idx="12">
                  <c:v>1.958333333333333</c:v>
                </c:pt>
                <c:pt idx="13">
                  <c:v>2.25</c:v>
                </c:pt>
                <c:pt idx="14">
                  <c:v>2.75</c:v>
                </c:pt>
                <c:pt idx="15">
                  <c:v>3.25</c:v>
                </c:pt>
                <c:pt idx="16">
                  <c:v>3.75</c:v>
                </c:pt>
                <c:pt idx="17">
                  <c:v>4.25</c:v>
                </c:pt>
                <c:pt idx="18">
                  <c:v>4.75</c:v>
                </c:pt>
                <c:pt idx="19">
                  <c:v>5.25</c:v>
                </c:pt>
                <c:pt idx="20">
                  <c:v>5.75</c:v>
                </c:pt>
                <c:pt idx="21">
                  <c:v>6.25</c:v>
                </c:pt>
              </c:numCache>
            </c:numRef>
          </c:xVal>
          <c:yVal>
            <c:numRef>
              <c:f>頭囲データ!$L$27:$L$48</c:f>
              <c:numCache>
                <c:formatCode>General</c:formatCode>
                <c:ptCount val="22"/>
                <c:pt idx="0">
                  <c:v>44.7</c:v>
                </c:pt>
                <c:pt idx="1">
                  <c:v>45.0</c:v>
                </c:pt>
                <c:pt idx="2">
                  <c:v>45.4</c:v>
                </c:pt>
                <c:pt idx="3">
                  <c:v>45.7</c:v>
                </c:pt>
                <c:pt idx="4">
                  <c:v>45.9</c:v>
                </c:pt>
                <c:pt idx="5">
                  <c:v>46.2</c:v>
                </c:pt>
                <c:pt idx="6">
                  <c:v>46.4</c:v>
                </c:pt>
                <c:pt idx="7">
                  <c:v>46.5</c:v>
                </c:pt>
                <c:pt idx="8">
                  <c:v>46.7</c:v>
                </c:pt>
                <c:pt idx="9">
                  <c:v>46.8</c:v>
                </c:pt>
                <c:pt idx="10">
                  <c:v>47.0</c:v>
                </c:pt>
                <c:pt idx="11">
                  <c:v>47.1</c:v>
                </c:pt>
                <c:pt idx="12">
                  <c:v>47.2</c:v>
                </c:pt>
                <c:pt idx="13">
                  <c:v>47.5</c:v>
                </c:pt>
                <c:pt idx="14">
                  <c:v>48.1</c:v>
                </c:pt>
                <c:pt idx="15">
                  <c:v>48.6</c:v>
                </c:pt>
                <c:pt idx="16">
                  <c:v>49.1</c:v>
                </c:pt>
                <c:pt idx="17">
                  <c:v>49.6</c:v>
                </c:pt>
                <c:pt idx="18">
                  <c:v>49.9</c:v>
                </c:pt>
                <c:pt idx="19">
                  <c:v>50.3</c:v>
                </c:pt>
                <c:pt idx="20">
                  <c:v>50.6</c:v>
                </c:pt>
                <c:pt idx="21">
                  <c:v>50.9</c:v>
                </c:pt>
              </c:numCache>
            </c:numRef>
          </c:yVal>
          <c:smooth val="0"/>
        </c:ser>
        <c:ser>
          <c:idx val="4"/>
          <c:order val="4"/>
          <c:tx>
            <c:strRef>
              <c:f>頭囲データ!$M$26</c:f>
              <c:strCache>
                <c:ptCount val="1"/>
                <c:pt idx="0">
                  <c:v>75%tile</c:v>
                </c:pt>
              </c:strCache>
            </c:strRef>
          </c:tx>
          <c:spPr>
            <a:ln w="9525">
              <a:solidFill>
                <a:schemeClr val="tx1"/>
              </a:solidFill>
            </a:ln>
          </c:spPr>
          <c:marker>
            <c:symbol val="none"/>
          </c:marker>
          <c:dLbls>
            <c:dLbl>
              <c:idx val="13"/>
              <c:layout>
                <c:manualLayout>
                  <c:x val="0.549745370370372"/>
                  <c:y val="-0.122434640522876"/>
                </c:manualLayout>
              </c:layout>
              <c:tx>
                <c:strRef>
                  <c:f>頭囲データ!$M$9</c:f>
                  <c:strCache>
                    <c:ptCount val="1"/>
                    <c:pt idx="0">
                      <c:v>75%tile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{0C09BF5A-658D-404B-A255-8F5B9C91E3C3}</c15:txfldGUID>
                      <c15:f>頭囲データ!$M$9</c15:f>
                      <c15:dlblFieldTableCache>
                        <c:ptCount val="1"/>
                        <c:pt idx="0">
                          <c:v>75%tile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頭囲データ!$H$27:$H$48</c:f>
              <c:numCache>
                <c:formatCode>General</c:formatCode>
                <c:ptCount val="22"/>
                <c:pt idx="0">
                  <c:v>0.958333333333333</c:v>
                </c:pt>
                <c:pt idx="1">
                  <c:v>1.041666666666667</c:v>
                </c:pt>
                <c:pt idx="2">
                  <c:v>1.125</c:v>
                </c:pt>
                <c:pt idx="3">
                  <c:v>1.208333333333333</c:v>
                </c:pt>
                <c:pt idx="4">
                  <c:v>1.291666666666666</c:v>
                </c:pt>
                <c:pt idx="5">
                  <c:v>1.375</c:v>
                </c:pt>
                <c:pt idx="6">
                  <c:v>1.458333333333333</c:v>
                </c:pt>
                <c:pt idx="7">
                  <c:v>1.541666666666666</c:v>
                </c:pt>
                <c:pt idx="8">
                  <c:v>1.624999999999999</c:v>
                </c:pt>
                <c:pt idx="9">
                  <c:v>1.708333333333333</c:v>
                </c:pt>
                <c:pt idx="10">
                  <c:v>1.791666666666666</c:v>
                </c:pt>
                <c:pt idx="11">
                  <c:v>1.874999999999999</c:v>
                </c:pt>
                <c:pt idx="12">
                  <c:v>1.958333333333333</c:v>
                </c:pt>
                <c:pt idx="13">
                  <c:v>2.25</c:v>
                </c:pt>
                <c:pt idx="14">
                  <c:v>2.75</c:v>
                </c:pt>
                <c:pt idx="15">
                  <c:v>3.25</c:v>
                </c:pt>
                <c:pt idx="16">
                  <c:v>3.75</c:v>
                </c:pt>
                <c:pt idx="17">
                  <c:v>4.25</c:v>
                </c:pt>
                <c:pt idx="18">
                  <c:v>4.75</c:v>
                </c:pt>
                <c:pt idx="19">
                  <c:v>5.25</c:v>
                </c:pt>
                <c:pt idx="20">
                  <c:v>5.75</c:v>
                </c:pt>
                <c:pt idx="21">
                  <c:v>6.25</c:v>
                </c:pt>
              </c:numCache>
            </c:numRef>
          </c:xVal>
          <c:yVal>
            <c:numRef>
              <c:f>頭囲データ!$M$27:$M$48</c:f>
              <c:numCache>
                <c:formatCode>General</c:formatCode>
                <c:ptCount val="22"/>
                <c:pt idx="0">
                  <c:v>45.6</c:v>
                </c:pt>
                <c:pt idx="1">
                  <c:v>46.0</c:v>
                </c:pt>
                <c:pt idx="2">
                  <c:v>46.4</c:v>
                </c:pt>
                <c:pt idx="3">
                  <c:v>46.6</c:v>
                </c:pt>
                <c:pt idx="4">
                  <c:v>46.9</c:v>
                </c:pt>
                <c:pt idx="5">
                  <c:v>47.1</c:v>
                </c:pt>
                <c:pt idx="6">
                  <c:v>47.3</c:v>
                </c:pt>
                <c:pt idx="7">
                  <c:v>47.5</c:v>
                </c:pt>
                <c:pt idx="8">
                  <c:v>47.7</c:v>
                </c:pt>
                <c:pt idx="9">
                  <c:v>47.8</c:v>
                </c:pt>
                <c:pt idx="10">
                  <c:v>48.0</c:v>
                </c:pt>
                <c:pt idx="11">
                  <c:v>48.1</c:v>
                </c:pt>
                <c:pt idx="12">
                  <c:v>48.2</c:v>
                </c:pt>
                <c:pt idx="13">
                  <c:v>48.6</c:v>
                </c:pt>
                <c:pt idx="14">
                  <c:v>49.1</c:v>
                </c:pt>
                <c:pt idx="15">
                  <c:v>49.7</c:v>
                </c:pt>
                <c:pt idx="16">
                  <c:v>50.2</c:v>
                </c:pt>
                <c:pt idx="17">
                  <c:v>50.6</c:v>
                </c:pt>
                <c:pt idx="18">
                  <c:v>51.0</c:v>
                </c:pt>
                <c:pt idx="19">
                  <c:v>51.4</c:v>
                </c:pt>
                <c:pt idx="20">
                  <c:v>51.7</c:v>
                </c:pt>
                <c:pt idx="21">
                  <c:v>52.0</c:v>
                </c:pt>
              </c:numCache>
            </c:numRef>
          </c:yVal>
          <c:smooth val="0"/>
        </c:ser>
        <c:ser>
          <c:idx val="5"/>
          <c:order val="5"/>
          <c:tx>
            <c:strRef>
              <c:f>頭囲データ!$N$26</c:f>
              <c:strCache>
                <c:ptCount val="1"/>
                <c:pt idx="0">
                  <c:v>90%tile</c:v>
                </c:pt>
              </c:strCache>
            </c:strRef>
          </c:tx>
          <c:spPr>
            <a:ln w="9525">
              <a:solidFill>
                <a:schemeClr val="tx1"/>
              </a:solidFill>
            </a:ln>
          </c:spPr>
          <c:marker>
            <c:symbol val="none"/>
          </c:marker>
          <c:dLbls>
            <c:dLbl>
              <c:idx val="13"/>
              <c:layout>
                <c:manualLayout>
                  <c:x val="0.549745370370372"/>
                  <c:y val="-0.126585130718954"/>
                </c:manualLayout>
              </c:layout>
              <c:tx>
                <c:strRef>
                  <c:f>頭囲データ!$N$9</c:f>
                  <c:strCache>
                    <c:ptCount val="1"/>
                    <c:pt idx="0">
                      <c:v>90%tile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{C6771DC6-4FF7-4E42-8CE1-DF149B1B5898}</c15:txfldGUID>
                      <c15:f>頭囲データ!$N$9</c15:f>
                      <c15:dlblFieldTableCache>
                        <c:ptCount val="1"/>
                        <c:pt idx="0">
                          <c:v>90%tile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頭囲データ!$H$27:$H$48</c:f>
              <c:numCache>
                <c:formatCode>General</c:formatCode>
                <c:ptCount val="22"/>
                <c:pt idx="0">
                  <c:v>0.958333333333333</c:v>
                </c:pt>
                <c:pt idx="1">
                  <c:v>1.041666666666667</c:v>
                </c:pt>
                <c:pt idx="2">
                  <c:v>1.125</c:v>
                </c:pt>
                <c:pt idx="3">
                  <c:v>1.208333333333333</c:v>
                </c:pt>
                <c:pt idx="4">
                  <c:v>1.291666666666666</c:v>
                </c:pt>
                <c:pt idx="5">
                  <c:v>1.375</c:v>
                </c:pt>
                <c:pt idx="6">
                  <c:v>1.458333333333333</c:v>
                </c:pt>
                <c:pt idx="7">
                  <c:v>1.541666666666666</c:v>
                </c:pt>
                <c:pt idx="8">
                  <c:v>1.624999999999999</c:v>
                </c:pt>
                <c:pt idx="9">
                  <c:v>1.708333333333333</c:v>
                </c:pt>
                <c:pt idx="10">
                  <c:v>1.791666666666666</c:v>
                </c:pt>
                <c:pt idx="11">
                  <c:v>1.874999999999999</c:v>
                </c:pt>
                <c:pt idx="12">
                  <c:v>1.958333333333333</c:v>
                </c:pt>
                <c:pt idx="13">
                  <c:v>2.25</c:v>
                </c:pt>
                <c:pt idx="14">
                  <c:v>2.75</c:v>
                </c:pt>
                <c:pt idx="15">
                  <c:v>3.25</c:v>
                </c:pt>
                <c:pt idx="16">
                  <c:v>3.75</c:v>
                </c:pt>
                <c:pt idx="17">
                  <c:v>4.25</c:v>
                </c:pt>
                <c:pt idx="18">
                  <c:v>4.75</c:v>
                </c:pt>
                <c:pt idx="19">
                  <c:v>5.25</c:v>
                </c:pt>
                <c:pt idx="20">
                  <c:v>5.75</c:v>
                </c:pt>
                <c:pt idx="21">
                  <c:v>6.25</c:v>
                </c:pt>
              </c:numCache>
            </c:numRef>
          </c:xVal>
          <c:yVal>
            <c:numRef>
              <c:f>頭囲データ!$N$27:$N$48</c:f>
              <c:numCache>
                <c:formatCode>General</c:formatCode>
                <c:ptCount val="22"/>
                <c:pt idx="0">
                  <c:v>46.5</c:v>
                </c:pt>
                <c:pt idx="1">
                  <c:v>46.9</c:v>
                </c:pt>
                <c:pt idx="2">
                  <c:v>47.2</c:v>
                </c:pt>
                <c:pt idx="3">
                  <c:v>47.5</c:v>
                </c:pt>
                <c:pt idx="4">
                  <c:v>47.8</c:v>
                </c:pt>
                <c:pt idx="5">
                  <c:v>48.0</c:v>
                </c:pt>
                <c:pt idx="6">
                  <c:v>48.2</c:v>
                </c:pt>
                <c:pt idx="7">
                  <c:v>48.4</c:v>
                </c:pt>
                <c:pt idx="8">
                  <c:v>48.6</c:v>
                </c:pt>
                <c:pt idx="9">
                  <c:v>48.7</c:v>
                </c:pt>
                <c:pt idx="10">
                  <c:v>48.8</c:v>
                </c:pt>
                <c:pt idx="11">
                  <c:v>49.0</c:v>
                </c:pt>
                <c:pt idx="12">
                  <c:v>49.1</c:v>
                </c:pt>
                <c:pt idx="13">
                  <c:v>49.5</c:v>
                </c:pt>
                <c:pt idx="14">
                  <c:v>50.0</c:v>
                </c:pt>
                <c:pt idx="15">
                  <c:v>50.6</c:v>
                </c:pt>
                <c:pt idx="16">
                  <c:v>51.1</c:v>
                </c:pt>
                <c:pt idx="17">
                  <c:v>51.6</c:v>
                </c:pt>
                <c:pt idx="18">
                  <c:v>52.0</c:v>
                </c:pt>
                <c:pt idx="19">
                  <c:v>52.4</c:v>
                </c:pt>
                <c:pt idx="20">
                  <c:v>52.7</c:v>
                </c:pt>
                <c:pt idx="21">
                  <c:v>53.0</c:v>
                </c:pt>
              </c:numCache>
            </c:numRef>
          </c:yVal>
          <c:smooth val="0"/>
        </c:ser>
        <c:ser>
          <c:idx val="6"/>
          <c:order val="6"/>
          <c:tx>
            <c:strRef>
              <c:f>頭囲データ!$O$26</c:f>
              <c:strCache>
                <c:ptCount val="1"/>
                <c:pt idx="0">
                  <c:v>97%tile</c:v>
                </c:pt>
              </c:strCache>
            </c:strRef>
          </c:tx>
          <c:spPr>
            <a:ln w="9525">
              <a:solidFill>
                <a:prstClr val="black"/>
              </a:solidFill>
            </a:ln>
          </c:spPr>
          <c:marker>
            <c:symbol val="none"/>
          </c:marker>
          <c:dLbls>
            <c:dLbl>
              <c:idx val="13"/>
              <c:layout>
                <c:manualLayout>
                  <c:x val="0.546805555555557"/>
                  <c:y val="-0.134885620915033"/>
                </c:manualLayout>
              </c:layout>
              <c:tx>
                <c:strRef>
                  <c:f>頭囲データ!$O$9</c:f>
                  <c:strCache>
                    <c:ptCount val="1"/>
                    <c:pt idx="0">
                      <c:v>97%tile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{353D928A-8A55-5644-94B3-F74228EE86D4}</c15:txfldGUID>
                      <c15:f>頭囲データ!$O$9</c15:f>
                      <c15:dlblFieldTableCache>
                        <c:ptCount val="1"/>
                        <c:pt idx="0">
                          <c:v>97%tile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頭囲データ!$H$27:$H$48</c:f>
              <c:numCache>
                <c:formatCode>General</c:formatCode>
                <c:ptCount val="22"/>
                <c:pt idx="0">
                  <c:v>0.958333333333333</c:v>
                </c:pt>
                <c:pt idx="1">
                  <c:v>1.041666666666667</c:v>
                </c:pt>
                <c:pt idx="2">
                  <c:v>1.125</c:v>
                </c:pt>
                <c:pt idx="3">
                  <c:v>1.208333333333333</c:v>
                </c:pt>
                <c:pt idx="4">
                  <c:v>1.291666666666666</c:v>
                </c:pt>
                <c:pt idx="5">
                  <c:v>1.375</c:v>
                </c:pt>
                <c:pt idx="6">
                  <c:v>1.458333333333333</c:v>
                </c:pt>
                <c:pt idx="7">
                  <c:v>1.541666666666666</c:v>
                </c:pt>
                <c:pt idx="8">
                  <c:v>1.624999999999999</c:v>
                </c:pt>
                <c:pt idx="9">
                  <c:v>1.708333333333333</c:v>
                </c:pt>
                <c:pt idx="10">
                  <c:v>1.791666666666666</c:v>
                </c:pt>
                <c:pt idx="11">
                  <c:v>1.874999999999999</c:v>
                </c:pt>
                <c:pt idx="12">
                  <c:v>1.958333333333333</c:v>
                </c:pt>
                <c:pt idx="13">
                  <c:v>2.25</c:v>
                </c:pt>
                <c:pt idx="14">
                  <c:v>2.75</c:v>
                </c:pt>
                <c:pt idx="15">
                  <c:v>3.25</c:v>
                </c:pt>
                <c:pt idx="16">
                  <c:v>3.75</c:v>
                </c:pt>
                <c:pt idx="17">
                  <c:v>4.25</c:v>
                </c:pt>
                <c:pt idx="18">
                  <c:v>4.75</c:v>
                </c:pt>
                <c:pt idx="19">
                  <c:v>5.25</c:v>
                </c:pt>
                <c:pt idx="20">
                  <c:v>5.75</c:v>
                </c:pt>
                <c:pt idx="21">
                  <c:v>6.25</c:v>
                </c:pt>
              </c:numCache>
            </c:numRef>
          </c:xVal>
          <c:yVal>
            <c:numRef>
              <c:f>頭囲データ!$O$27:$O$48</c:f>
              <c:numCache>
                <c:formatCode>General</c:formatCode>
                <c:ptCount val="22"/>
                <c:pt idx="0">
                  <c:v>47.3</c:v>
                </c:pt>
                <c:pt idx="1">
                  <c:v>47.7</c:v>
                </c:pt>
                <c:pt idx="2">
                  <c:v>48.1</c:v>
                </c:pt>
                <c:pt idx="3">
                  <c:v>48.4</c:v>
                </c:pt>
                <c:pt idx="4">
                  <c:v>48.6</c:v>
                </c:pt>
                <c:pt idx="5">
                  <c:v>48.9</c:v>
                </c:pt>
                <c:pt idx="6">
                  <c:v>49.1</c:v>
                </c:pt>
                <c:pt idx="7">
                  <c:v>49.3</c:v>
                </c:pt>
                <c:pt idx="8">
                  <c:v>49.4</c:v>
                </c:pt>
                <c:pt idx="9">
                  <c:v>49.6</c:v>
                </c:pt>
                <c:pt idx="10">
                  <c:v>49.7</c:v>
                </c:pt>
                <c:pt idx="11">
                  <c:v>49.9</c:v>
                </c:pt>
                <c:pt idx="12">
                  <c:v>50.0</c:v>
                </c:pt>
                <c:pt idx="13">
                  <c:v>50.3</c:v>
                </c:pt>
                <c:pt idx="14">
                  <c:v>50.9</c:v>
                </c:pt>
                <c:pt idx="15">
                  <c:v>51.5</c:v>
                </c:pt>
                <c:pt idx="16">
                  <c:v>52.0</c:v>
                </c:pt>
                <c:pt idx="17">
                  <c:v>52.5</c:v>
                </c:pt>
                <c:pt idx="18">
                  <c:v>52.9</c:v>
                </c:pt>
                <c:pt idx="19">
                  <c:v>53.3</c:v>
                </c:pt>
                <c:pt idx="20">
                  <c:v>53.7</c:v>
                </c:pt>
                <c:pt idx="21">
                  <c:v>54.0</c:v>
                </c:pt>
              </c:numCache>
            </c:numRef>
          </c:yVal>
          <c:smooth val="0"/>
        </c:ser>
        <c:ser>
          <c:idx val="7"/>
          <c:order val="7"/>
          <c:tx>
            <c:strRef>
              <c:f>入力!$B$1</c:f>
              <c:strCache>
                <c:ptCount val="1"/>
              </c:strCache>
            </c:strRef>
          </c:tx>
          <c:spPr>
            <a:ln w="28575">
              <a:noFill/>
            </a:ln>
          </c:spPr>
          <c:marker>
            <c:symbol val="circle"/>
            <c:size val="7"/>
            <c:spPr>
              <a:solidFill>
                <a:srgbClr val="FF0000"/>
              </a:solidFill>
              <a:ln>
                <a:solidFill>
                  <a:sysClr val="window" lastClr="FFFFFF"/>
                </a:solidFill>
              </a:ln>
            </c:spPr>
          </c:marker>
          <c:xVal>
            <c:numRef>
              <c:f>入力!$W$7:$W$156</c:f>
              <c:numCache>
                <c:formatCode>0.00_);[Red]\(0.00\)</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入力!$D$7:$D$156</c:f>
              <c:numCache>
                <c:formatCode>General</c:formatCode>
                <c:ptCount val="150"/>
              </c:numCache>
            </c:numRef>
          </c:yVal>
          <c:smooth val="0"/>
        </c:ser>
        <c:dLbls>
          <c:showLegendKey val="0"/>
          <c:showVal val="0"/>
          <c:showCatName val="0"/>
          <c:showSerName val="0"/>
          <c:showPercent val="0"/>
          <c:showBubbleSize val="0"/>
        </c:dLbls>
        <c:axId val="-939015488"/>
        <c:axId val="-886247072"/>
      </c:scatterChart>
      <c:valAx>
        <c:axId val="-939015488"/>
        <c:scaling>
          <c:orientation val="minMax"/>
          <c:max val="6.0"/>
          <c:min val="1.0"/>
        </c:scaling>
        <c:delete val="0"/>
        <c:axPos val="b"/>
        <c:majorGridlines/>
        <c:title>
          <c:tx>
            <c:strRef>
              <c:f>頭囲データ!$H$26</c:f>
              <c:strCache>
                <c:ptCount val="1"/>
                <c:pt idx="0">
                  <c:v>年齢(歳)</c:v>
                </c:pt>
              </c:strCache>
            </c:strRef>
          </c:tx>
          <c:layout>
            <c:manualLayout>
              <c:xMode val="edge"/>
              <c:yMode val="edge"/>
              <c:x val="0.45303125"/>
              <c:y val="0.934724183006536"/>
            </c:manualLayout>
          </c:layout>
          <c:overlay val="0"/>
          <c:txPr>
            <a:bodyPr/>
            <a:lstStyle/>
            <a:p>
              <a:pPr>
                <a:defRPr/>
              </a:pPr>
              <a:endParaRPr lang="ja-JP"/>
            </a:p>
          </c:txPr>
        </c:title>
        <c:numFmt formatCode="General" sourceLinked="1"/>
        <c:majorTickMark val="out"/>
        <c:minorTickMark val="none"/>
        <c:tickLblPos val="nextTo"/>
        <c:crossAx val="-886247072"/>
        <c:crosses val="autoZero"/>
        <c:crossBetween val="midCat"/>
        <c:majorUnit val="1.0"/>
        <c:minorUnit val="0.5"/>
      </c:valAx>
      <c:valAx>
        <c:axId val="-886247072"/>
        <c:scaling>
          <c:orientation val="minMax"/>
          <c:max val="60.0"/>
          <c:min val="40.0"/>
        </c:scaling>
        <c:delete val="0"/>
        <c:axPos val="l"/>
        <c:majorGridlines/>
        <c:minorGridlines/>
        <c:title>
          <c:tx>
            <c:rich>
              <a:bodyPr rot="0" vert="wordArtVertRtl"/>
              <a:lstStyle/>
              <a:p>
                <a:pPr>
                  <a:defRPr/>
                </a:pPr>
                <a:r>
                  <a:rPr lang="ja-JP" altLang="en-US"/>
                  <a:t>頭囲</a:t>
                </a:r>
                <a:r>
                  <a:rPr lang="en-US" altLang="ja-JP"/>
                  <a:t>(cm)</a:t>
                </a:r>
                <a:endParaRPr lang="ja-JP" altLang="en-US"/>
              </a:p>
            </c:rich>
          </c:tx>
          <c:overlay val="0"/>
        </c:title>
        <c:numFmt formatCode="General" sourceLinked="1"/>
        <c:majorTickMark val="out"/>
        <c:minorTickMark val="none"/>
        <c:tickLblPos val="nextTo"/>
        <c:spPr>
          <a:ln/>
        </c:spPr>
        <c:crossAx val="-939015488"/>
        <c:crosses val="autoZero"/>
        <c:crossBetween val="midCat"/>
        <c:majorUnit val="5.0"/>
        <c:minorUnit val="1.0"/>
      </c:valAx>
    </c:plotArea>
    <c:plotVisOnly val="1"/>
    <c:dispBlanksAs val="gap"/>
    <c:showDLblsOverMax val="0"/>
  </c:chart>
  <c:printSettings>
    <c:headerFooter/>
    <c:pageMargins b="0.750000000000002" l="0.700000000000001" r="0.700000000000001" t="0.750000000000002"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胸囲データ!$A$6</c:f>
          <c:strCache>
            <c:ptCount val="1"/>
            <c:pt idx="0">
              <c:v>乳児（子）身体発育曲線（胸囲）</c:v>
            </c:pt>
          </c:strCache>
        </c:strRef>
      </c:tx>
      <c:overlay val="0"/>
      <c:txPr>
        <a:bodyPr/>
        <a:lstStyle/>
        <a:p>
          <a:pPr>
            <a:defRPr sz="1600"/>
          </a:pPr>
          <a:endParaRPr lang="ja-JP"/>
        </a:p>
      </c:txPr>
    </c:title>
    <c:autoTitleDeleted val="0"/>
    <c:plotArea>
      <c:layout>
        <c:manualLayout>
          <c:layoutTarget val="inner"/>
          <c:xMode val="edge"/>
          <c:yMode val="edge"/>
          <c:x val="0.125793055555556"/>
          <c:y val="0.11386568627451"/>
          <c:w val="0.738643518518521"/>
          <c:h val="0.760571568627451"/>
        </c:manualLayout>
      </c:layout>
      <c:scatterChart>
        <c:scatterStyle val="lineMarker"/>
        <c:varyColors val="0"/>
        <c:ser>
          <c:idx val="0"/>
          <c:order val="0"/>
          <c:tx>
            <c:strRef>
              <c:f>胸囲データ!$I$9</c:f>
              <c:strCache>
                <c:ptCount val="1"/>
                <c:pt idx="0">
                  <c:v>3%tile</c:v>
                </c:pt>
              </c:strCache>
            </c:strRef>
          </c:tx>
          <c:spPr>
            <a:ln w="9525">
              <a:solidFill>
                <a:schemeClr val="tx1"/>
              </a:solidFill>
            </a:ln>
          </c:spPr>
          <c:marker>
            <c:symbol val="none"/>
          </c:marker>
          <c:dLbls>
            <c:dLbl>
              <c:idx val="13"/>
              <c:layout>
                <c:manualLayout>
                  <c:x val="0.0264583333333333"/>
                  <c:y val="0.0"/>
                </c:manualLayout>
              </c:layout>
              <c:tx>
                <c:strRef>
                  <c:f>頭囲データ!$I$9</c:f>
                  <c:strCache>
                    <c:ptCount val="1"/>
                    <c:pt idx="0">
                      <c:v>3%tile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{D1ECE567-BEFF-2746-B5BC-5C00C60D3859}</c15:txfldGUID>
                      <c15:f>頭囲データ!$I$9</c15:f>
                      <c15:dlblFieldTableCache>
                        <c:ptCount val="1"/>
                        <c:pt idx="0">
                          <c:v>3%tile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胸囲データ!$H$10:$H$24</c:f>
              <c:numCache>
                <c:formatCode>General</c:formatCode>
                <c:ptCount val="15"/>
                <c:pt idx="0">
                  <c:v>0.0</c:v>
                </c:pt>
                <c:pt idx="1">
                  <c:v>0.166666666666667</c:v>
                </c:pt>
                <c:pt idx="2">
                  <c:v>1.0</c:v>
                </c:pt>
                <c:pt idx="3">
                  <c:v>1.5</c:v>
                </c:pt>
                <c:pt idx="4">
                  <c:v>2.5</c:v>
                </c:pt>
                <c:pt idx="5">
                  <c:v>3.5</c:v>
                </c:pt>
                <c:pt idx="6">
                  <c:v>4.5</c:v>
                </c:pt>
                <c:pt idx="7">
                  <c:v>5.5</c:v>
                </c:pt>
                <c:pt idx="8">
                  <c:v>6.5</c:v>
                </c:pt>
                <c:pt idx="9">
                  <c:v>7.5</c:v>
                </c:pt>
                <c:pt idx="10">
                  <c:v>8.5</c:v>
                </c:pt>
                <c:pt idx="11">
                  <c:v>9.5</c:v>
                </c:pt>
                <c:pt idx="12">
                  <c:v>10.5</c:v>
                </c:pt>
                <c:pt idx="13">
                  <c:v>11.5</c:v>
                </c:pt>
                <c:pt idx="14">
                  <c:v>12.5</c:v>
                </c:pt>
              </c:numCache>
            </c:numRef>
          </c:xVal>
          <c:yVal>
            <c:numRef>
              <c:f>胸囲データ!$I$10:$I$24</c:f>
              <c:numCache>
                <c:formatCode>General</c:formatCode>
                <c:ptCount val="15"/>
                <c:pt idx="0">
                  <c:v>29.3</c:v>
                </c:pt>
                <c:pt idx="1">
                  <c:v>29.3</c:v>
                </c:pt>
                <c:pt idx="2">
                  <c:v>32.8</c:v>
                </c:pt>
                <c:pt idx="3">
                  <c:v>34.4</c:v>
                </c:pt>
                <c:pt idx="4">
                  <c:v>36.5</c:v>
                </c:pt>
                <c:pt idx="5">
                  <c:v>38.0</c:v>
                </c:pt>
                <c:pt idx="6">
                  <c:v>38.9</c:v>
                </c:pt>
                <c:pt idx="7">
                  <c:v>39.5</c:v>
                </c:pt>
                <c:pt idx="8">
                  <c:v>39.9</c:v>
                </c:pt>
                <c:pt idx="9">
                  <c:v>40.3</c:v>
                </c:pt>
                <c:pt idx="10">
                  <c:v>40.8</c:v>
                </c:pt>
                <c:pt idx="11">
                  <c:v>41.1</c:v>
                </c:pt>
                <c:pt idx="12">
                  <c:v>41.3</c:v>
                </c:pt>
                <c:pt idx="13">
                  <c:v>41.6</c:v>
                </c:pt>
                <c:pt idx="14">
                  <c:v>41.8</c:v>
                </c:pt>
              </c:numCache>
            </c:numRef>
          </c:yVal>
          <c:smooth val="0"/>
        </c:ser>
        <c:ser>
          <c:idx val="1"/>
          <c:order val="1"/>
          <c:tx>
            <c:strRef>
              <c:f>胸囲データ!$J$9</c:f>
              <c:strCache>
                <c:ptCount val="1"/>
                <c:pt idx="0">
                  <c:v>10%tile</c:v>
                </c:pt>
              </c:strCache>
            </c:strRef>
          </c:tx>
          <c:spPr>
            <a:ln w="9525">
              <a:solidFill>
                <a:schemeClr val="tx1"/>
              </a:solidFill>
            </a:ln>
          </c:spPr>
          <c:marker>
            <c:symbol val="none"/>
          </c:marker>
          <c:dLbls>
            <c:dLbl>
              <c:idx val="13"/>
              <c:layout>
                <c:manualLayout>
                  <c:x val="0.0235185185185185"/>
                  <c:y val="-0.00622565359477126"/>
                </c:manualLayout>
              </c:layout>
              <c:tx>
                <c:strRef>
                  <c:f>頭囲データ!$J$9</c:f>
                  <c:strCache>
                    <c:ptCount val="1"/>
                    <c:pt idx="0">
                      <c:v>10%tile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{3E5235FF-2A70-5B45-AD3B-A7D972D71B68}</c15:txfldGUID>
                      <c15:f>頭囲データ!$J$9</c15:f>
                      <c15:dlblFieldTableCache>
                        <c:ptCount val="1"/>
                        <c:pt idx="0">
                          <c:v>10%tile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胸囲データ!$H$10:$H$24</c:f>
              <c:numCache>
                <c:formatCode>General</c:formatCode>
                <c:ptCount val="15"/>
                <c:pt idx="0">
                  <c:v>0.0</c:v>
                </c:pt>
                <c:pt idx="1">
                  <c:v>0.166666666666667</c:v>
                </c:pt>
                <c:pt idx="2">
                  <c:v>1.0</c:v>
                </c:pt>
                <c:pt idx="3">
                  <c:v>1.5</c:v>
                </c:pt>
                <c:pt idx="4">
                  <c:v>2.5</c:v>
                </c:pt>
                <c:pt idx="5">
                  <c:v>3.5</c:v>
                </c:pt>
                <c:pt idx="6">
                  <c:v>4.5</c:v>
                </c:pt>
                <c:pt idx="7">
                  <c:v>5.5</c:v>
                </c:pt>
                <c:pt idx="8">
                  <c:v>6.5</c:v>
                </c:pt>
                <c:pt idx="9">
                  <c:v>7.5</c:v>
                </c:pt>
                <c:pt idx="10">
                  <c:v>8.5</c:v>
                </c:pt>
                <c:pt idx="11">
                  <c:v>9.5</c:v>
                </c:pt>
                <c:pt idx="12">
                  <c:v>10.5</c:v>
                </c:pt>
                <c:pt idx="13">
                  <c:v>11.5</c:v>
                </c:pt>
                <c:pt idx="14">
                  <c:v>12.5</c:v>
                </c:pt>
              </c:numCache>
            </c:numRef>
          </c:xVal>
          <c:yVal>
            <c:numRef>
              <c:f>胸囲データ!$J$10:$J$24</c:f>
              <c:numCache>
                <c:formatCode>General</c:formatCode>
                <c:ptCount val="15"/>
                <c:pt idx="0">
                  <c:v>30.1</c:v>
                </c:pt>
                <c:pt idx="1">
                  <c:v>30.1</c:v>
                </c:pt>
                <c:pt idx="2">
                  <c:v>33.6</c:v>
                </c:pt>
                <c:pt idx="3">
                  <c:v>35.3</c:v>
                </c:pt>
                <c:pt idx="4">
                  <c:v>37.4</c:v>
                </c:pt>
                <c:pt idx="5">
                  <c:v>38.9</c:v>
                </c:pt>
                <c:pt idx="6">
                  <c:v>39.9</c:v>
                </c:pt>
                <c:pt idx="7">
                  <c:v>40.5</c:v>
                </c:pt>
                <c:pt idx="8">
                  <c:v>40.9</c:v>
                </c:pt>
                <c:pt idx="9">
                  <c:v>41.3</c:v>
                </c:pt>
                <c:pt idx="10">
                  <c:v>41.8</c:v>
                </c:pt>
                <c:pt idx="11">
                  <c:v>42.1</c:v>
                </c:pt>
                <c:pt idx="12">
                  <c:v>42.3</c:v>
                </c:pt>
                <c:pt idx="13">
                  <c:v>42.6</c:v>
                </c:pt>
                <c:pt idx="14">
                  <c:v>42.8</c:v>
                </c:pt>
              </c:numCache>
            </c:numRef>
          </c:yVal>
          <c:smooth val="0"/>
        </c:ser>
        <c:ser>
          <c:idx val="2"/>
          <c:order val="2"/>
          <c:tx>
            <c:strRef>
              <c:f>胸囲データ!$K$9</c:f>
              <c:strCache>
                <c:ptCount val="1"/>
                <c:pt idx="0">
                  <c:v>25%tile</c:v>
                </c:pt>
              </c:strCache>
            </c:strRef>
          </c:tx>
          <c:spPr>
            <a:ln w="9525">
              <a:solidFill>
                <a:schemeClr val="tx1"/>
              </a:solidFill>
            </a:ln>
          </c:spPr>
          <c:marker>
            <c:symbol val="none"/>
          </c:marker>
          <c:dLbls>
            <c:dLbl>
              <c:idx val="13"/>
              <c:layout>
                <c:manualLayout>
                  <c:x val="0.0235185185185185"/>
                  <c:y val="-0.00830065359477127"/>
                </c:manualLayout>
              </c:layout>
              <c:tx>
                <c:strRef>
                  <c:f>頭囲データ!$K$9</c:f>
                  <c:strCache>
                    <c:ptCount val="1"/>
                    <c:pt idx="0">
                      <c:v>25%tile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{EABAA86C-B4E9-464F-8BF9-42B2C0C450D1}</c15:txfldGUID>
                      <c15:f>頭囲データ!$K$9</c15:f>
                      <c15:dlblFieldTableCache>
                        <c:ptCount val="1"/>
                        <c:pt idx="0">
                          <c:v>25%tile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胸囲データ!$H$10:$H$24</c:f>
              <c:numCache>
                <c:formatCode>General</c:formatCode>
                <c:ptCount val="15"/>
                <c:pt idx="0">
                  <c:v>0.0</c:v>
                </c:pt>
                <c:pt idx="1">
                  <c:v>0.166666666666667</c:v>
                </c:pt>
                <c:pt idx="2">
                  <c:v>1.0</c:v>
                </c:pt>
                <c:pt idx="3">
                  <c:v>1.5</c:v>
                </c:pt>
                <c:pt idx="4">
                  <c:v>2.5</c:v>
                </c:pt>
                <c:pt idx="5">
                  <c:v>3.5</c:v>
                </c:pt>
                <c:pt idx="6">
                  <c:v>4.5</c:v>
                </c:pt>
                <c:pt idx="7">
                  <c:v>5.5</c:v>
                </c:pt>
                <c:pt idx="8">
                  <c:v>6.5</c:v>
                </c:pt>
                <c:pt idx="9">
                  <c:v>7.5</c:v>
                </c:pt>
                <c:pt idx="10">
                  <c:v>8.5</c:v>
                </c:pt>
                <c:pt idx="11">
                  <c:v>9.5</c:v>
                </c:pt>
                <c:pt idx="12">
                  <c:v>10.5</c:v>
                </c:pt>
                <c:pt idx="13">
                  <c:v>11.5</c:v>
                </c:pt>
                <c:pt idx="14">
                  <c:v>12.5</c:v>
                </c:pt>
              </c:numCache>
            </c:numRef>
          </c:xVal>
          <c:yVal>
            <c:numRef>
              <c:f>胸囲データ!$K$10:$K$24</c:f>
              <c:numCache>
                <c:formatCode>General</c:formatCode>
                <c:ptCount val="15"/>
                <c:pt idx="0">
                  <c:v>30.9</c:v>
                </c:pt>
                <c:pt idx="1">
                  <c:v>30.9</c:v>
                </c:pt>
                <c:pt idx="2">
                  <c:v>34.4</c:v>
                </c:pt>
                <c:pt idx="3">
                  <c:v>36.2</c:v>
                </c:pt>
                <c:pt idx="4">
                  <c:v>38.4</c:v>
                </c:pt>
                <c:pt idx="5">
                  <c:v>39.9</c:v>
                </c:pt>
                <c:pt idx="6">
                  <c:v>40.9</c:v>
                </c:pt>
                <c:pt idx="7">
                  <c:v>41.5</c:v>
                </c:pt>
                <c:pt idx="8">
                  <c:v>42.0</c:v>
                </c:pt>
                <c:pt idx="9">
                  <c:v>42.4</c:v>
                </c:pt>
                <c:pt idx="10">
                  <c:v>42.8</c:v>
                </c:pt>
                <c:pt idx="11">
                  <c:v>43.1</c:v>
                </c:pt>
                <c:pt idx="12">
                  <c:v>43.4</c:v>
                </c:pt>
                <c:pt idx="13">
                  <c:v>43.6</c:v>
                </c:pt>
                <c:pt idx="14">
                  <c:v>43.9</c:v>
                </c:pt>
              </c:numCache>
            </c:numRef>
          </c:yVal>
          <c:smooth val="0"/>
        </c:ser>
        <c:ser>
          <c:idx val="3"/>
          <c:order val="3"/>
          <c:tx>
            <c:strRef>
              <c:f>胸囲データ!$L$9</c:f>
              <c:strCache>
                <c:ptCount val="1"/>
                <c:pt idx="0">
                  <c:v>50%tile</c:v>
                </c:pt>
              </c:strCache>
            </c:strRef>
          </c:tx>
          <c:spPr>
            <a:ln w="19050">
              <a:solidFill>
                <a:schemeClr val="tx1"/>
              </a:solidFill>
            </a:ln>
          </c:spPr>
          <c:marker>
            <c:symbol val="none"/>
          </c:marker>
          <c:dLbls>
            <c:dLbl>
              <c:idx val="13"/>
              <c:layout>
                <c:manualLayout>
                  <c:x val="0.0235185185185185"/>
                  <c:y val="-0.00622549019607843"/>
                </c:manualLayout>
              </c:layout>
              <c:tx>
                <c:strRef>
                  <c:f>頭囲データ!$L$9</c:f>
                  <c:strCache>
                    <c:ptCount val="1"/>
                    <c:pt idx="0">
                      <c:v>50%tile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{E5AD39DA-65F4-3841-883E-977BFB58130D}</c15:txfldGUID>
                      <c15:f>頭囲データ!$L$9</c15:f>
                      <c15:dlblFieldTableCache>
                        <c:ptCount val="1"/>
                        <c:pt idx="0">
                          <c:v>50%tile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胸囲データ!$H$10:$H$24</c:f>
              <c:numCache>
                <c:formatCode>General</c:formatCode>
                <c:ptCount val="15"/>
                <c:pt idx="0">
                  <c:v>0.0</c:v>
                </c:pt>
                <c:pt idx="1">
                  <c:v>0.166666666666667</c:v>
                </c:pt>
                <c:pt idx="2">
                  <c:v>1.0</c:v>
                </c:pt>
                <c:pt idx="3">
                  <c:v>1.5</c:v>
                </c:pt>
                <c:pt idx="4">
                  <c:v>2.5</c:v>
                </c:pt>
                <c:pt idx="5">
                  <c:v>3.5</c:v>
                </c:pt>
                <c:pt idx="6">
                  <c:v>4.5</c:v>
                </c:pt>
                <c:pt idx="7">
                  <c:v>5.5</c:v>
                </c:pt>
                <c:pt idx="8">
                  <c:v>6.5</c:v>
                </c:pt>
                <c:pt idx="9">
                  <c:v>7.5</c:v>
                </c:pt>
                <c:pt idx="10">
                  <c:v>8.5</c:v>
                </c:pt>
                <c:pt idx="11">
                  <c:v>9.5</c:v>
                </c:pt>
                <c:pt idx="12">
                  <c:v>10.5</c:v>
                </c:pt>
                <c:pt idx="13">
                  <c:v>11.5</c:v>
                </c:pt>
                <c:pt idx="14">
                  <c:v>12.5</c:v>
                </c:pt>
              </c:numCache>
            </c:numRef>
          </c:xVal>
          <c:yVal>
            <c:numRef>
              <c:f>胸囲データ!$L$10:$L$24</c:f>
              <c:numCache>
                <c:formatCode>General</c:formatCode>
                <c:ptCount val="15"/>
                <c:pt idx="0">
                  <c:v>31.8</c:v>
                </c:pt>
                <c:pt idx="1">
                  <c:v>31.8</c:v>
                </c:pt>
                <c:pt idx="2">
                  <c:v>35.4</c:v>
                </c:pt>
                <c:pt idx="3">
                  <c:v>37.2</c:v>
                </c:pt>
                <c:pt idx="4">
                  <c:v>39.5</c:v>
                </c:pt>
                <c:pt idx="5">
                  <c:v>41.1</c:v>
                </c:pt>
                <c:pt idx="6">
                  <c:v>42.1</c:v>
                </c:pt>
                <c:pt idx="7">
                  <c:v>42.7</c:v>
                </c:pt>
                <c:pt idx="8">
                  <c:v>43.2</c:v>
                </c:pt>
                <c:pt idx="9">
                  <c:v>43.6</c:v>
                </c:pt>
                <c:pt idx="10">
                  <c:v>44.0</c:v>
                </c:pt>
                <c:pt idx="11">
                  <c:v>44.3</c:v>
                </c:pt>
                <c:pt idx="12">
                  <c:v>44.6</c:v>
                </c:pt>
                <c:pt idx="13">
                  <c:v>44.8</c:v>
                </c:pt>
                <c:pt idx="14">
                  <c:v>45.1</c:v>
                </c:pt>
              </c:numCache>
            </c:numRef>
          </c:yVal>
          <c:smooth val="0"/>
        </c:ser>
        <c:ser>
          <c:idx val="4"/>
          <c:order val="4"/>
          <c:tx>
            <c:strRef>
              <c:f>胸囲データ!$M$9</c:f>
              <c:strCache>
                <c:ptCount val="1"/>
                <c:pt idx="0">
                  <c:v>75%tile</c:v>
                </c:pt>
              </c:strCache>
            </c:strRef>
          </c:tx>
          <c:spPr>
            <a:ln w="9525">
              <a:solidFill>
                <a:schemeClr val="tx1"/>
              </a:solidFill>
            </a:ln>
          </c:spPr>
          <c:marker>
            <c:symbol val="none"/>
          </c:marker>
          <c:dLbls>
            <c:dLbl>
              <c:idx val="13"/>
              <c:layout>
                <c:manualLayout>
                  <c:x val="0.0205787037037037"/>
                  <c:y val="-0.00830065359477127"/>
                </c:manualLayout>
              </c:layout>
              <c:tx>
                <c:strRef>
                  <c:f>頭囲データ!$M$9</c:f>
                  <c:strCache>
                    <c:ptCount val="1"/>
                    <c:pt idx="0">
                      <c:v>75%tile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{F81B6CA0-C58D-0D4F-B12B-DCA5DDF0D108}</c15:txfldGUID>
                      <c15:f>頭囲データ!$M$9</c15:f>
                      <c15:dlblFieldTableCache>
                        <c:ptCount val="1"/>
                        <c:pt idx="0">
                          <c:v>75%tile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胸囲データ!$H$10:$H$24</c:f>
              <c:numCache>
                <c:formatCode>General</c:formatCode>
                <c:ptCount val="15"/>
                <c:pt idx="0">
                  <c:v>0.0</c:v>
                </c:pt>
                <c:pt idx="1">
                  <c:v>0.166666666666667</c:v>
                </c:pt>
                <c:pt idx="2">
                  <c:v>1.0</c:v>
                </c:pt>
                <c:pt idx="3">
                  <c:v>1.5</c:v>
                </c:pt>
                <c:pt idx="4">
                  <c:v>2.5</c:v>
                </c:pt>
                <c:pt idx="5">
                  <c:v>3.5</c:v>
                </c:pt>
                <c:pt idx="6">
                  <c:v>4.5</c:v>
                </c:pt>
                <c:pt idx="7">
                  <c:v>5.5</c:v>
                </c:pt>
                <c:pt idx="8">
                  <c:v>6.5</c:v>
                </c:pt>
                <c:pt idx="9">
                  <c:v>7.5</c:v>
                </c:pt>
                <c:pt idx="10">
                  <c:v>8.5</c:v>
                </c:pt>
                <c:pt idx="11">
                  <c:v>9.5</c:v>
                </c:pt>
                <c:pt idx="12">
                  <c:v>10.5</c:v>
                </c:pt>
                <c:pt idx="13">
                  <c:v>11.5</c:v>
                </c:pt>
                <c:pt idx="14">
                  <c:v>12.5</c:v>
                </c:pt>
              </c:numCache>
            </c:numRef>
          </c:xVal>
          <c:yVal>
            <c:numRef>
              <c:f>胸囲データ!$M$10:$M$24</c:f>
              <c:numCache>
                <c:formatCode>General</c:formatCode>
                <c:ptCount val="15"/>
                <c:pt idx="0">
                  <c:v>32.8</c:v>
                </c:pt>
                <c:pt idx="1">
                  <c:v>32.8</c:v>
                </c:pt>
                <c:pt idx="2">
                  <c:v>36.4</c:v>
                </c:pt>
                <c:pt idx="3">
                  <c:v>38.3</c:v>
                </c:pt>
                <c:pt idx="4">
                  <c:v>40.6</c:v>
                </c:pt>
                <c:pt idx="5">
                  <c:v>42.2</c:v>
                </c:pt>
                <c:pt idx="6">
                  <c:v>43.3</c:v>
                </c:pt>
                <c:pt idx="7">
                  <c:v>44.0</c:v>
                </c:pt>
                <c:pt idx="8">
                  <c:v>44.4</c:v>
                </c:pt>
                <c:pt idx="9">
                  <c:v>44.8</c:v>
                </c:pt>
                <c:pt idx="10">
                  <c:v>45.2</c:v>
                </c:pt>
                <c:pt idx="11">
                  <c:v>45.5</c:v>
                </c:pt>
                <c:pt idx="12">
                  <c:v>45.8</c:v>
                </c:pt>
                <c:pt idx="13">
                  <c:v>46.1</c:v>
                </c:pt>
                <c:pt idx="14">
                  <c:v>46.4</c:v>
                </c:pt>
              </c:numCache>
            </c:numRef>
          </c:yVal>
          <c:smooth val="0"/>
        </c:ser>
        <c:ser>
          <c:idx val="5"/>
          <c:order val="5"/>
          <c:tx>
            <c:strRef>
              <c:f>胸囲データ!$N$9</c:f>
              <c:strCache>
                <c:ptCount val="1"/>
                <c:pt idx="0">
                  <c:v>90%tile</c:v>
                </c:pt>
              </c:strCache>
            </c:strRef>
          </c:tx>
          <c:spPr>
            <a:ln w="9525">
              <a:solidFill>
                <a:schemeClr val="tx1"/>
              </a:solidFill>
            </a:ln>
          </c:spPr>
          <c:marker>
            <c:symbol val="none"/>
          </c:marker>
          <c:dLbls>
            <c:dLbl>
              <c:idx val="13"/>
              <c:layout>
                <c:manualLayout>
                  <c:x val="0.0235185185185185"/>
                  <c:y val="-0.0103759803921569"/>
                </c:manualLayout>
              </c:layout>
              <c:tx>
                <c:strRef>
                  <c:f>頭囲データ!$N$9</c:f>
                  <c:strCache>
                    <c:ptCount val="1"/>
                    <c:pt idx="0">
                      <c:v>90%tile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{8BC5A118-6C5B-2548-B151-048681D86E91}</c15:txfldGUID>
                      <c15:f>頭囲データ!$N$9</c15:f>
                      <c15:dlblFieldTableCache>
                        <c:ptCount val="1"/>
                        <c:pt idx="0">
                          <c:v>90%tile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胸囲データ!$H$10:$H$24</c:f>
              <c:numCache>
                <c:formatCode>General</c:formatCode>
                <c:ptCount val="15"/>
                <c:pt idx="0">
                  <c:v>0.0</c:v>
                </c:pt>
                <c:pt idx="1">
                  <c:v>0.166666666666667</c:v>
                </c:pt>
                <c:pt idx="2">
                  <c:v>1.0</c:v>
                </c:pt>
                <c:pt idx="3">
                  <c:v>1.5</c:v>
                </c:pt>
                <c:pt idx="4">
                  <c:v>2.5</c:v>
                </c:pt>
                <c:pt idx="5">
                  <c:v>3.5</c:v>
                </c:pt>
                <c:pt idx="6">
                  <c:v>4.5</c:v>
                </c:pt>
                <c:pt idx="7">
                  <c:v>5.5</c:v>
                </c:pt>
                <c:pt idx="8">
                  <c:v>6.5</c:v>
                </c:pt>
                <c:pt idx="9">
                  <c:v>7.5</c:v>
                </c:pt>
                <c:pt idx="10">
                  <c:v>8.5</c:v>
                </c:pt>
                <c:pt idx="11">
                  <c:v>9.5</c:v>
                </c:pt>
                <c:pt idx="12">
                  <c:v>10.5</c:v>
                </c:pt>
                <c:pt idx="13">
                  <c:v>11.5</c:v>
                </c:pt>
                <c:pt idx="14">
                  <c:v>12.5</c:v>
                </c:pt>
              </c:numCache>
            </c:numRef>
          </c:xVal>
          <c:yVal>
            <c:numRef>
              <c:f>胸囲データ!$N$10:$N$24</c:f>
              <c:numCache>
                <c:formatCode>General</c:formatCode>
                <c:ptCount val="15"/>
                <c:pt idx="0">
                  <c:v>33.7</c:v>
                </c:pt>
                <c:pt idx="1">
                  <c:v>33.7</c:v>
                </c:pt>
                <c:pt idx="2">
                  <c:v>37.3</c:v>
                </c:pt>
                <c:pt idx="3">
                  <c:v>39.4</c:v>
                </c:pt>
                <c:pt idx="4">
                  <c:v>41.7</c:v>
                </c:pt>
                <c:pt idx="5">
                  <c:v>43.3</c:v>
                </c:pt>
                <c:pt idx="6">
                  <c:v>44.4</c:v>
                </c:pt>
                <c:pt idx="7">
                  <c:v>45.1</c:v>
                </c:pt>
                <c:pt idx="8">
                  <c:v>45.6</c:v>
                </c:pt>
                <c:pt idx="9">
                  <c:v>46.0</c:v>
                </c:pt>
                <c:pt idx="10">
                  <c:v>46.4</c:v>
                </c:pt>
                <c:pt idx="11">
                  <c:v>46.7</c:v>
                </c:pt>
                <c:pt idx="12">
                  <c:v>47.1</c:v>
                </c:pt>
                <c:pt idx="13">
                  <c:v>47.3</c:v>
                </c:pt>
                <c:pt idx="14">
                  <c:v>47.7</c:v>
                </c:pt>
              </c:numCache>
            </c:numRef>
          </c:yVal>
          <c:smooth val="0"/>
        </c:ser>
        <c:ser>
          <c:idx val="6"/>
          <c:order val="6"/>
          <c:tx>
            <c:strRef>
              <c:f>胸囲データ!$O$9</c:f>
              <c:strCache>
                <c:ptCount val="1"/>
                <c:pt idx="0">
                  <c:v>97%tile</c:v>
                </c:pt>
              </c:strCache>
            </c:strRef>
          </c:tx>
          <c:spPr>
            <a:ln w="9525">
              <a:solidFill>
                <a:prstClr val="black"/>
              </a:solidFill>
            </a:ln>
          </c:spPr>
          <c:marker>
            <c:symbol val="none"/>
          </c:marker>
          <c:dLbls>
            <c:dLbl>
              <c:idx val="13"/>
              <c:layout>
                <c:manualLayout>
                  <c:x val="0.0264583333333333"/>
                  <c:y val="-0.0103758169934641"/>
                </c:manualLayout>
              </c:layout>
              <c:tx>
                <c:strRef>
                  <c:f>頭囲データ!$O$9</c:f>
                  <c:strCache>
                    <c:ptCount val="1"/>
                    <c:pt idx="0">
                      <c:v>97%tile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{A91B1CAA-E126-7B41-968C-2F4BA2E357C6}</c15:txfldGUID>
                      <c15:f>頭囲データ!$O$9</c15:f>
                      <c15:dlblFieldTableCache>
                        <c:ptCount val="1"/>
                        <c:pt idx="0">
                          <c:v>97%tile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胸囲データ!$H$10:$H$24</c:f>
              <c:numCache>
                <c:formatCode>General</c:formatCode>
                <c:ptCount val="15"/>
                <c:pt idx="0">
                  <c:v>0.0</c:v>
                </c:pt>
                <c:pt idx="1">
                  <c:v>0.166666666666667</c:v>
                </c:pt>
                <c:pt idx="2">
                  <c:v>1.0</c:v>
                </c:pt>
                <c:pt idx="3">
                  <c:v>1.5</c:v>
                </c:pt>
                <c:pt idx="4">
                  <c:v>2.5</c:v>
                </c:pt>
                <c:pt idx="5">
                  <c:v>3.5</c:v>
                </c:pt>
                <c:pt idx="6">
                  <c:v>4.5</c:v>
                </c:pt>
                <c:pt idx="7">
                  <c:v>5.5</c:v>
                </c:pt>
                <c:pt idx="8">
                  <c:v>6.5</c:v>
                </c:pt>
                <c:pt idx="9">
                  <c:v>7.5</c:v>
                </c:pt>
                <c:pt idx="10">
                  <c:v>8.5</c:v>
                </c:pt>
                <c:pt idx="11">
                  <c:v>9.5</c:v>
                </c:pt>
                <c:pt idx="12">
                  <c:v>10.5</c:v>
                </c:pt>
                <c:pt idx="13">
                  <c:v>11.5</c:v>
                </c:pt>
                <c:pt idx="14">
                  <c:v>12.5</c:v>
                </c:pt>
              </c:numCache>
            </c:numRef>
          </c:xVal>
          <c:yVal>
            <c:numRef>
              <c:f>胸囲データ!$O$10:$O$24</c:f>
              <c:numCache>
                <c:formatCode>General</c:formatCode>
                <c:ptCount val="15"/>
                <c:pt idx="0">
                  <c:v>34.6</c:v>
                </c:pt>
                <c:pt idx="1">
                  <c:v>34.6</c:v>
                </c:pt>
                <c:pt idx="2">
                  <c:v>38.5</c:v>
                </c:pt>
                <c:pt idx="3">
                  <c:v>40.5</c:v>
                </c:pt>
                <c:pt idx="4">
                  <c:v>42.8</c:v>
                </c:pt>
                <c:pt idx="5">
                  <c:v>44.5</c:v>
                </c:pt>
                <c:pt idx="6">
                  <c:v>45.6</c:v>
                </c:pt>
                <c:pt idx="7">
                  <c:v>46.4</c:v>
                </c:pt>
                <c:pt idx="8">
                  <c:v>46.9</c:v>
                </c:pt>
                <c:pt idx="9">
                  <c:v>47.3</c:v>
                </c:pt>
                <c:pt idx="10">
                  <c:v>47.8</c:v>
                </c:pt>
                <c:pt idx="11">
                  <c:v>48.1</c:v>
                </c:pt>
                <c:pt idx="12">
                  <c:v>48.4</c:v>
                </c:pt>
                <c:pt idx="13">
                  <c:v>48.7</c:v>
                </c:pt>
                <c:pt idx="14">
                  <c:v>49.1</c:v>
                </c:pt>
              </c:numCache>
            </c:numRef>
          </c:yVal>
          <c:smooth val="0"/>
        </c:ser>
        <c:ser>
          <c:idx val="7"/>
          <c:order val="7"/>
          <c:tx>
            <c:strRef>
              <c:f>入力!$B$1</c:f>
              <c:strCache>
                <c:ptCount val="1"/>
              </c:strCache>
            </c:strRef>
          </c:tx>
          <c:spPr>
            <a:ln w="28575">
              <a:noFill/>
            </a:ln>
          </c:spPr>
          <c:marker>
            <c:symbol val="circle"/>
            <c:size val="7"/>
            <c:spPr>
              <a:solidFill>
                <a:srgbClr val="FF0000"/>
              </a:solidFill>
              <a:ln>
                <a:solidFill>
                  <a:schemeClr val="bg1"/>
                </a:solidFill>
              </a:ln>
            </c:spPr>
          </c:marker>
          <c:xVal>
            <c:numRef>
              <c:f>入力!$AL$7:$AL$156</c:f>
              <c:numCache>
                <c:formatCode>0.0_ </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入力!$E$7:$E$156</c:f>
              <c:numCache>
                <c:formatCode>General</c:formatCode>
                <c:ptCount val="150"/>
              </c:numCache>
            </c:numRef>
          </c:yVal>
          <c:smooth val="0"/>
        </c:ser>
        <c:dLbls>
          <c:showLegendKey val="0"/>
          <c:showVal val="0"/>
          <c:showCatName val="0"/>
          <c:showSerName val="0"/>
          <c:showPercent val="0"/>
          <c:showBubbleSize val="0"/>
        </c:dLbls>
        <c:axId val="-884596912"/>
        <c:axId val="-879461696"/>
      </c:scatterChart>
      <c:valAx>
        <c:axId val="-884596912"/>
        <c:scaling>
          <c:orientation val="minMax"/>
          <c:max val="12.0"/>
          <c:min val="0.0"/>
        </c:scaling>
        <c:delete val="0"/>
        <c:axPos val="b"/>
        <c:majorGridlines/>
        <c:title>
          <c:tx>
            <c:rich>
              <a:bodyPr/>
              <a:lstStyle/>
              <a:p>
                <a:pPr>
                  <a:defRPr/>
                </a:pPr>
                <a:r>
                  <a:rPr lang="ja-JP" altLang="en-US"/>
                  <a:t>月齢</a:t>
                </a:r>
                <a:r>
                  <a:rPr lang="en-US" altLang="ja-JP"/>
                  <a:t>(</a:t>
                </a:r>
                <a:r>
                  <a:rPr lang="ja-JP" altLang="en-US"/>
                  <a:t>カ月</a:t>
                </a:r>
                <a:r>
                  <a:rPr lang="en-US" altLang="ja-JP"/>
                  <a:t>)</a:t>
                </a:r>
                <a:endParaRPr lang="ja-JP" altLang="en-US"/>
              </a:p>
            </c:rich>
          </c:tx>
          <c:layout>
            <c:manualLayout>
              <c:xMode val="edge"/>
              <c:yMode val="edge"/>
              <c:x val="0.45303125"/>
              <c:y val="0.934724183006536"/>
            </c:manualLayout>
          </c:layout>
          <c:overlay val="0"/>
        </c:title>
        <c:numFmt formatCode="General" sourceLinked="1"/>
        <c:majorTickMark val="out"/>
        <c:minorTickMark val="none"/>
        <c:tickLblPos val="nextTo"/>
        <c:crossAx val="-879461696"/>
        <c:crosses val="autoZero"/>
        <c:crossBetween val="midCat"/>
        <c:majorUnit val="1.0"/>
      </c:valAx>
      <c:valAx>
        <c:axId val="-879461696"/>
        <c:scaling>
          <c:orientation val="minMax"/>
          <c:max val="55.0"/>
          <c:min val="25.0"/>
        </c:scaling>
        <c:delete val="0"/>
        <c:axPos val="l"/>
        <c:majorGridlines/>
        <c:minorGridlines/>
        <c:title>
          <c:tx>
            <c:rich>
              <a:bodyPr rot="0" vert="wordArtVertRtl"/>
              <a:lstStyle/>
              <a:p>
                <a:pPr>
                  <a:defRPr/>
                </a:pPr>
                <a:r>
                  <a:rPr lang="ja-JP" altLang="en-US"/>
                  <a:t>胸囲</a:t>
                </a:r>
                <a:r>
                  <a:rPr lang="en-US" altLang="ja-JP"/>
                  <a:t>(cm)</a:t>
                </a:r>
                <a:endParaRPr lang="ja-JP" altLang="en-US"/>
              </a:p>
            </c:rich>
          </c:tx>
          <c:overlay val="0"/>
        </c:title>
        <c:numFmt formatCode="General" sourceLinked="1"/>
        <c:majorTickMark val="out"/>
        <c:minorTickMark val="none"/>
        <c:tickLblPos val="nextTo"/>
        <c:crossAx val="-884596912"/>
        <c:crosses val="autoZero"/>
        <c:crossBetween val="midCat"/>
        <c:majorUnit val="5.0"/>
        <c:minorUnit val="1.0"/>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胸囲データ!$A$7</c:f>
          <c:strCache>
            <c:ptCount val="1"/>
            <c:pt idx="0">
              <c:v>幼児（子）身体発育曲線（胸囲）</c:v>
            </c:pt>
          </c:strCache>
        </c:strRef>
      </c:tx>
      <c:overlay val="0"/>
      <c:txPr>
        <a:bodyPr/>
        <a:lstStyle/>
        <a:p>
          <a:pPr>
            <a:defRPr sz="1600"/>
          </a:pPr>
          <a:endParaRPr lang="ja-JP"/>
        </a:p>
      </c:txPr>
    </c:title>
    <c:autoTitleDeleted val="0"/>
    <c:plotArea>
      <c:layout>
        <c:manualLayout>
          <c:layoutTarget val="inner"/>
          <c:xMode val="edge"/>
          <c:yMode val="edge"/>
          <c:x val="0.125793055555556"/>
          <c:y val="0.11386568627451"/>
          <c:w val="0.738643518518521"/>
          <c:h val="0.760571568627451"/>
        </c:manualLayout>
      </c:layout>
      <c:scatterChart>
        <c:scatterStyle val="lineMarker"/>
        <c:varyColors val="0"/>
        <c:ser>
          <c:idx val="0"/>
          <c:order val="0"/>
          <c:tx>
            <c:strRef>
              <c:f>胸囲データ!$I$26</c:f>
              <c:strCache>
                <c:ptCount val="1"/>
                <c:pt idx="0">
                  <c:v>3%tile</c:v>
                </c:pt>
              </c:strCache>
            </c:strRef>
          </c:tx>
          <c:spPr>
            <a:ln w="9525">
              <a:solidFill>
                <a:schemeClr val="tx1"/>
              </a:solidFill>
            </a:ln>
          </c:spPr>
          <c:marker>
            <c:symbol val="none"/>
          </c:marker>
          <c:dLbls>
            <c:dLbl>
              <c:idx val="13"/>
              <c:layout>
                <c:manualLayout>
                  <c:x val="0.558912705809257"/>
                  <c:y val="-0.18418426700363"/>
                </c:manualLayout>
              </c:layout>
              <c:tx>
                <c:strRef>
                  <c:f>頭囲データ!$I$9</c:f>
                  <c:strCache>
                    <c:ptCount val="1"/>
                    <c:pt idx="0">
                      <c:v>3%tile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{A4D2C6A6-E3B2-6548-9DFD-B26853DEA153}</c15:txfldGUID>
                      <c15:f>頭囲データ!$I$9</c15:f>
                      <c15:dlblFieldTableCache>
                        <c:ptCount val="1"/>
                        <c:pt idx="0">
                          <c:v>3%tile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胸囲データ!$H$27:$H$48</c:f>
              <c:numCache>
                <c:formatCode>General</c:formatCode>
                <c:ptCount val="22"/>
                <c:pt idx="0">
                  <c:v>0.958333333333333</c:v>
                </c:pt>
                <c:pt idx="1">
                  <c:v>1.041666666666667</c:v>
                </c:pt>
                <c:pt idx="2">
                  <c:v>1.125</c:v>
                </c:pt>
                <c:pt idx="3">
                  <c:v>1.208333333333333</c:v>
                </c:pt>
                <c:pt idx="4">
                  <c:v>1.291666666666666</c:v>
                </c:pt>
                <c:pt idx="5">
                  <c:v>1.375</c:v>
                </c:pt>
                <c:pt idx="6">
                  <c:v>1.458333333333333</c:v>
                </c:pt>
                <c:pt idx="7">
                  <c:v>1.541666666666666</c:v>
                </c:pt>
                <c:pt idx="8">
                  <c:v>1.624999999999999</c:v>
                </c:pt>
                <c:pt idx="9">
                  <c:v>1.708333333333333</c:v>
                </c:pt>
                <c:pt idx="10">
                  <c:v>1.791666666666666</c:v>
                </c:pt>
                <c:pt idx="11">
                  <c:v>1.874999999999999</c:v>
                </c:pt>
                <c:pt idx="12">
                  <c:v>1.958333333333333</c:v>
                </c:pt>
                <c:pt idx="13">
                  <c:v>2.25</c:v>
                </c:pt>
                <c:pt idx="14">
                  <c:v>2.75</c:v>
                </c:pt>
                <c:pt idx="15">
                  <c:v>3.25</c:v>
                </c:pt>
                <c:pt idx="16">
                  <c:v>3.75</c:v>
                </c:pt>
                <c:pt idx="17">
                  <c:v>4.25</c:v>
                </c:pt>
                <c:pt idx="18">
                  <c:v>4.75</c:v>
                </c:pt>
                <c:pt idx="19">
                  <c:v>5.25</c:v>
                </c:pt>
                <c:pt idx="20">
                  <c:v>5.75</c:v>
                </c:pt>
                <c:pt idx="21">
                  <c:v>6.25</c:v>
                </c:pt>
              </c:numCache>
            </c:numRef>
          </c:xVal>
          <c:yVal>
            <c:numRef>
              <c:f>胸囲データ!$I$27:$I$48</c:f>
              <c:numCache>
                <c:formatCode>General</c:formatCode>
                <c:ptCount val="22"/>
                <c:pt idx="0">
                  <c:v>41.6</c:v>
                </c:pt>
                <c:pt idx="1">
                  <c:v>41.8</c:v>
                </c:pt>
                <c:pt idx="2">
                  <c:v>42.1</c:v>
                </c:pt>
                <c:pt idx="3">
                  <c:v>42.3</c:v>
                </c:pt>
                <c:pt idx="4">
                  <c:v>42.5</c:v>
                </c:pt>
                <c:pt idx="5">
                  <c:v>42.7</c:v>
                </c:pt>
                <c:pt idx="6">
                  <c:v>42.9</c:v>
                </c:pt>
                <c:pt idx="7">
                  <c:v>43.1</c:v>
                </c:pt>
                <c:pt idx="8">
                  <c:v>43.3</c:v>
                </c:pt>
                <c:pt idx="9">
                  <c:v>43.5</c:v>
                </c:pt>
                <c:pt idx="10">
                  <c:v>43.7</c:v>
                </c:pt>
                <c:pt idx="11">
                  <c:v>43.8</c:v>
                </c:pt>
                <c:pt idx="12">
                  <c:v>43.9</c:v>
                </c:pt>
                <c:pt idx="13">
                  <c:v>44.5</c:v>
                </c:pt>
                <c:pt idx="14">
                  <c:v>45.2</c:v>
                </c:pt>
                <c:pt idx="15">
                  <c:v>46.0</c:v>
                </c:pt>
                <c:pt idx="16">
                  <c:v>46.9</c:v>
                </c:pt>
                <c:pt idx="17">
                  <c:v>47.8</c:v>
                </c:pt>
                <c:pt idx="18">
                  <c:v>48.7</c:v>
                </c:pt>
                <c:pt idx="19">
                  <c:v>49.5</c:v>
                </c:pt>
                <c:pt idx="20">
                  <c:v>50.4</c:v>
                </c:pt>
                <c:pt idx="21">
                  <c:v>51.3</c:v>
                </c:pt>
              </c:numCache>
            </c:numRef>
          </c:yVal>
          <c:smooth val="0"/>
        </c:ser>
        <c:ser>
          <c:idx val="1"/>
          <c:order val="1"/>
          <c:tx>
            <c:strRef>
              <c:f>胸囲データ!$J$26</c:f>
              <c:strCache>
                <c:ptCount val="1"/>
                <c:pt idx="0">
                  <c:v>10%tile</c:v>
                </c:pt>
              </c:strCache>
            </c:strRef>
          </c:tx>
          <c:spPr>
            <a:ln w="9525">
              <a:solidFill>
                <a:schemeClr val="tx1"/>
              </a:solidFill>
            </a:ln>
          </c:spPr>
          <c:marker>
            <c:symbol val="none"/>
          </c:marker>
          <c:dLbls>
            <c:dLbl>
              <c:idx val="13"/>
              <c:layout>
                <c:manualLayout>
                  <c:x val="0.552429584757171"/>
                  <c:y val="-0.1926279158393"/>
                </c:manualLayout>
              </c:layout>
              <c:tx>
                <c:strRef>
                  <c:f>頭囲データ!$J$9</c:f>
                  <c:strCache>
                    <c:ptCount val="1"/>
                    <c:pt idx="0">
                      <c:v>10%tile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{BF297670-7378-3848-A279-86FC27916963}</c15:txfldGUID>
                      <c15:f>頭囲データ!$J$9</c15:f>
                      <c15:dlblFieldTableCache>
                        <c:ptCount val="1"/>
                        <c:pt idx="0">
                          <c:v>10%tile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胸囲データ!$H$27:$H$48</c:f>
              <c:numCache>
                <c:formatCode>General</c:formatCode>
                <c:ptCount val="22"/>
                <c:pt idx="0">
                  <c:v>0.958333333333333</c:v>
                </c:pt>
                <c:pt idx="1">
                  <c:v>1.041666666666667</c:v>
                </c:pt>
                <c:pt idx="2">
                  <c:v>1.125</c:v>
                </c:pt>
                <c:pt idx="3">
                  <c:v>1.208333333333333</c:v>
                </c:pt>
                <c:pt idx="4">
                  <c:v>1.291666666666666</c:v>
                </c:pt>
                <c:pt idx="5">
                  <c:v>1.375</c:v>
                </c:pt>
                <c:pt idx="6">
                  <c:v>1.458333333333333</c:v>
                </c:pt>
                <c:pt idx="7">
                  <c:v>1.541666666666666</c:v>
                </c:pt>
                <c:pt idx="8">
                  <c:v>1.624999999999999</c:v>
                </c:pt>
                <c:pt idx="9">
                  <c:v>1.708333333333333</c:v>
                </c:pt>
                <c:pt idx="10">
                  <c:v>1.791666666666666</c:v>
                </c:pt>
                <c:pt idx="11">
                  <c:v>1.874999999999999</c:v>
                </c:pt>
                <c:pt idx="12">
                  <c:v>1.958333333333333</c:v>
                </c:pt>
                <c:pt idx="13">
                  <c:v>2.25</c:v>
                </c:pt>
                <c:pt idx="14">
                  <c:v>2.75</c:v>
                </c:pt>
                <c:pt idx="15">
                  <c:v>3.25</c:v>
                </c:pt>
                <c:pt idx="16">
                  <c:v>3.75</c:v>
                </c:pt>
                <c:pt idx="17">
                  <c:v>4.25</c:v>
                </c:pt>
                <c:pt idx="18">
                  <c:v>4.75</c:v>
                </c:pt>
                <c:pt idx="19">
                  <c:v>5.25</c:v>
                </c:pt>
                <c:pt idx="20">
                  <c:v>5.75</c:v>
                </c:pt>
                <c:pt idx="21">
                  <c:v>6.25</c:v>
                </c:pt>
              </c:numCache>
            </c:numRef>
          </c:xVal>
          <c:yVal>
            <c:numRef>
              <c:f>胸囲データ!$J$27:$J$48</c:f>
              <c:numCache>
                <c:formatCode>General</c:formatCode>
                <c:ptCount val="22"/>
                <c:pt idx="0">
                  <c:v>42.6</c:v>
                </c:pt>
                <c:pt idx="1">
                  <c:v>42.8</c:v>
                </c:pt>
                <c:pt idx="2">
                  <c:v>43.1</c:v>
                </c:pt>
                <c:pt idx="3">
                  <c:v>43.3</c:v>
                </c:pt>
                <c:pt idx="4">
                  <c:v>43.5</c:v>
                </c:pt>
                <c:pt idx="5">
                  <c:v>43.7</c:v>
                </c:pt>
                <c:pt idx="6">
                  <c:v>43.9</c:v>
                </c:pt>
                <c:pt idx="7">
                  <c:v>44.1</c:v>
                </c:pt>
                <c:pt idx="8">
                  <c:v>44.3</c:v>
                </c:pt>
                <c:pt idx="9">
                  <c:v>44.5</c:v>
                </c:pt>
                <c:pt idx="10">
                  <c:v>44.7</c:v>
                </c:pt>
                <c:pt idx="11">
                  <c:v>44.9</c:v>
                </c:pt>
                <c:pt idx="12">
                  <c:v>45.0</c:v>
                </c:pt>
                <c:pt idx="13">
                  <c:v>45.5</c:v>
                </c:pt>
                <c:pt idx="14">
                  <c:v>46.3</c:v>
                </c:pt>
                <c:pt idx="15">
                  <c:v>47.2</c:v>
                </c:pt>
                <c:pt idx="16">
                  <c:v>48.1</c:v>
                </c:pt>
                <c:pt idx="17">
                  <c:v>49.0</c:v>
                </c:pt>
                <c:pt idx="18">
                  <c:v>49.9</c:v>
                </c:pt>
                <c:pt idx="19">
                  <c:v>50.8</c:v>
                </c:pt>
                <c:pt idx="20">
                  <c:v>51.7</c:v>
                </c:pt>
                <c:pt idx="21">
                  <c:v>52.6</c:v>
                </c:pt>
              </c:numCache>
            </c:numRef>
          </c:yVal>
          <c:smooth val="0"/>
        </c:ser>
        <c:ser>
          <c:idx val="2"/>
          <c:order val="2"/>
          <c:tx>
            <c:strRef>
              <c:f>胸囲データ!$K$26</c:f>
              <c:strCache>
                <c:ptCount val="1"/>
                <c:pt idx="0">
                  <c:v>25%tile</c:v>
                </c:pt>
              </c:strCache>
            </c:strRef>
          </c:tx>
          <c:spPr>
            <a:ln w="9525">
              <a:solidFill>
                <a:schemeClr val="tx1"/>
              </a:solidFill>
            </a:ln>
          </c:spPr>
          <c:marker>
            <c:symbol val="none"/>
          </c:marker>
          <c:dLbls>
            <c:dLbl>
              <c:idx val="13"/>
              <c:layout>
                <c:manualLayout>
                  <c:x val="0.549745262503883"/>
                  <c:y val="-0.213759853180095"/>
                </c:manualLayout>
              </c:layout>
              <c:tx>
                <c:strRef>
                  <c:f>頭囲データ!$K$9</c:f>
                  <c:strCache>
                    <c:ptCount val="1"/>
                    <c:pt idx="0">
                      <c:v>25%tile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{367A9760-FBB6-2A4F-81C2-12B800B1D49F}</c15:txfldGUID>
                      <c15:f>頭囲データ!$K$9</c15:f>
                      <c15:dlblFieldTableCache>
                        <c:ptCount val="1"/>
                        <c:pt idx="0">
                          <c:v>25%tile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胸囲データ!$H$27:$H$48</c:f>
              <c:numCache>
                <c:formatCode>General</c:formatCode>
                <c:ptCount val="22"/>
                <c:pt idx="0">
                  <c:v>0.958333333333333</c:v>
                </c:pt>
                <c:pt idx="1">
                  <c:v>1.041666666666667</c:v>
                </c:pt>
                <c:pt idx="2">
                  <c:v>1.125</c:v>
                </c:pt>
                <c:pt idx="3">
                  <c:v>1.208333333333333</c:v>
                </c:pt>
                <c:pt idx="4">
                  <c:v>1.291666666666666</c:v>
                </c:pt>
                <c:pt idx="5">
                  <c:v>1.375</c:v>
                </c:pt>
                <c:pt idx="6">
                  <c:v>1.458333333333333</c:v>
                </c:pt>
                <c:pt idx="7">
                  <c:v>1.541666666666666</c:v>
                </c:pt>
                <c:pt idx="8">
                  <c:v>1.624999999999999</c:v>
                </c:pt>
                <c:pt idx="9">
                  <c:v>1.708333333333333</c:v>
                </c:pt>
                <c:pt idx="10">
                  <c:v>1.791666666666666</c:v>
                </c:pt>
                <c:pt idx="11">
                  <c:v>1.874999999999999</c:v>
                </c:pt>
                <c:pt idx="12">
                  <c:v>1.958333333333333</c:v>
                </c:pt>
                <c:pt idx="13">
                  <c:v>2.25</c:v>
                </c:pt>
                <c:pt idx="14">
                  <c:v>2.75</c:v>
                </c:pt>
                <c:pt idx="15">
                  <c:v>3.25</c:v>
                </c:pt>
                <c:pt idx="16">
                  <c:v>3.75</c:v>
                </c:pt>
                <c:pt idx="17">
                  <c:v>4.25</c:v>
                </c:pt>
                <c:pt idx="18">
                  <c:v>4.75</c:v>
                </c:pt>
                <c:pt idx="19">
                  <c:v>5.25</c:v>
                </c:pt>
                <c:pt idx="20">
                  <c:v>5.75</c:v>
                </c:pt>
                <c:pt idx="21">
                  <c:v>6.25</c:v>
                </c:pt>
              </c:numCache>
            </c:numRef>
          </c:xVal>
          <c:yVal>
            <c:numRef>
              <c:f>胸囲データ!$K$27:$K$48</c:f>
              <c:numCache>
                <c:formatCode>General</c:formatCode>
                <c:ptCount val="22"/>
                <c:pt idx="0">
                  <c:v>43.6</c:v>
                </c:pt>
                <c:pt idx="1">
                  <c:v>43.9</c:v>
                </c:pt>
                <c:pt idx="2">
                  <c:v>44.1</c:v>
                </c:pt>
                <c:pt idx="3">
                  <c:v>44.4</c:v>
                </c:pt>
                <c:pt idx="4">
                  <c:v>44.6</c:v>
                </c:pt>
                <c:pt idx="5">
                  <c:v>44.8</c:v>
                </c:pt>
                <c:pt idx="6">
                  <c:v>45.0</c:v>
                </c:pt>
                <c:pt idx="7">
                  <c:v>45.2</c:v>
                </c:pt>
                <c:pt idx="8">
                  <c:v>45.4</c:v>
                </c:pt>
                <c:pt idx="9">
                  <c:v>45.6</c:v>
                </c:pt>
                <c:pt idx="10">
                  <c:v>45.8</c:v>
                </c:pt>
                <c:pt idx="11">
                  <c:v>46.0</c:v>
                </c:pt>
                <c:pt idx="12">
                  <c:v>46.1</c:v>
                </c:pt>
                <c:pt idx="13">
                  <c:v>46.7</c:v>
                </c:pt>
                <c:pt idx="14">
                  <c:v>47.5</c:v>
                </c:pt>
                <c:pt idx="15">
                  <c:v>48.5</c:v>
                </c:pt>
                <c:pt idx="16">
                  <c:v>49.4</c:v>
                </c:pt>
                <c:pt idx="17">
                  <c:v>50.4</c:v>
                </c:pt>
                <c:pt idx="18">
                  <c:v>51.3</c:v>
                </c:pt>
                <c:pt idx="19">
                  <c:v>52.2</c:v>
                </c:pt>
                <c:pt idx="20">
                  <c:v>53.1</c:v>
                </c:pt>
                <c:pt idx="21">
                  <c:v>54.1</c:v>
                </c:pt>
              </c:numCache>
            </c:numRef>
          </c:yVal>
          <c:smooth val="0"/>
        </c:ser>
        <c:ser>
          <c:idx val="3"/>
          <c:order val="3"/>
          <c:tx>
            <c:strRef>
              <c:f>胸囲データ!$L$26</c:f>
              <c:strCache>
                <c:ptCount val="1"/>
                <c:pt idx="0">
                  <c:v>50%tile</c:v>
                </c:pt>
              </c:strCache>
            </c:strRef>
          </c:tx>
          <c:spPr>
            <a:ln w="19050">
              <a:solidFill>
                <a:schemeClr val="tx1"/>
              </a:solidFill>
            </a:ln>
          </c:spPr>
          <c:marker>
            <c:symbol val="none"/>
          </c:marker>
          <c:dLbls>
            <c:dLbl>
              <c:idx val="13"/>
              <c:layout>
                <c:manualLayout>
                  <c:x val="0.55009345552449"/>
                  <c:y val="-0.220128066269531"/>
                </c:manualLayout>
              </c:layout>
              <c:tx>
                <c:strRef>
                  <c:f>頭囲データ!$L$9</c:f>
                  <c:strCache>
                    <c:ptCount val="1"/>
                    <c:pt idx="0">
                      <c:v>50%tile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{3AA33AE8-DEBB-E545-8199-2479B1220A32}</c15:txfldGUID>
                      <c15:f>頭囲データ!$L$9</c15:f>
                      <c15:dlblFieldTableCache>
                        <c:ptCount val="1"/>
                        <c:pt idx="0">
                          <c:v>50%tile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胸囲データ!$H$27:$H$48</c:f>
              <c:numCache>
                <c:formatCode>General</c:formatCode>
                <c:ptCount val="22"/>
                <c:pt idx="0">
                  <c:v>0.958333333333333</c:v>
                </c:pt>
                <c:pt idx="1">
                  <c:v>1.041666666666667</c:v>
                </c:pt>
                <c:pt idx="2">
                  <c:v>1.125</c:v>
                </c:pt>
                <c:pt idx="3">
                  <c:v>1.208333333333333</c:v>
                </c:pt>
                <c:pt idx="4">
                  <c:v>1.291666666666666</c:v>
                </c:pt>
                <c:pt idx="5">
                  <c:v>1.375</c:v>
                </c:pt>
                <c:pt idx="6">
                  <c:v>1.458333333333333</c:v>
                </c:pt>
                <c:pt idx="7">
                  <c:v>1.541666666666666</c:v>
                </c:pt>
                <c:pt idx="8">
                  <c:v>1.624999999999999</c:v>
                </c:pt>
                <c:pt idx="9">
                  <c:v>1.708333333333333</c:v>
                </c:pt>
                <c:pt idx="10">
                  <c:v>1.791666666666666</c:v>
                </c:pt>
                <c:pt idx="11">
                  <c:v>1.874999999999999</c:v>
                </c:pt>
                <c:pt idx="12">
                  <c:v>1.958333333333333</c:v>
                </c:pt>
                <c:pt idx="13">
                  <c:v>2.25</c:v>
                </c:pt>
                <c:pt idx="14">
                  <c:v>2.75</c:v>
                </c:pt>
                <c:pt idx="15">
                  <c:v>3.25</c:v>
                </c:pt>
                <c:pt idx="16">
                  <c:v>3.75</c:v>
                </c:pt>
                <c:pt idx="17">
                  <c:v>4.25</c:v>
                </c:pt>
                <c:pt idx="18">
                  <c:v>4.75</c:v>
                </c:pt>
                <c:pt idx="19">
                  <c:v>5.25</c:v>
                </c:pt>
                <c:pt idx="20">
                  <c:v>5.75</c:v>
                </c:pt>
                <c:pt idx="21">
                  <c:v>6.25</c:v>
                </c:pt>
              </c:numCache>
            </c:numRef>
          </c:xVal>
          <c:yVal>
            <c:numRef>
              <c:f>胸囲データ!$L$27:$L$48</c:f>
              <c:numCache>
                <c:formatCode>General</c:formatCode>
                <c:ptCount val="22"/>
                <c:pt idx="0">
                  <c:v>44.8</c:v>
                </c:pt>
                <c:pt idx="1">
                  <c:v>45.1</c:v>
                </c:pt>
                <c:pt idx="2">
                  <c:v>45.4</c:v>
                </c:pt>
                <c:pt idx="3">
                  <c:v>45.6</c:v>
                </c:pt>
                <c:pt idx="4">
                  <c:v>45.8</c:v>
                </c:pt>
                <c:pt idx="5">
                  <c:v>46.0</c:v>
                </c:pt>
                <c:pt idx="6">
                  <c:v>46.2</c:v>
                </c:pt>
                <c:pt idx="7">
                  <c:v>46.5</c:v>
                </c:pt>
                <c:pt idx="8">
                  <c:v>46.7</c:v>
                </c:pt>
                <c:pt idx="9">
                  <c:v>46.9</c:v>
                </c:pt>
                <c:pt idx="10">
                  <c:v>47.1</c:v>
                </c:pt>
                <c:pt idx="11">
                  <c:v>47.2</c:v>
                </c:pt>
                <c:pt idx="12">
                  <c:v>47.4</c:v>
                </c:pt>
                <c:pt idx="13">
                  <c:v>48.0</c:v>
                </c:pt>
                <c:pt idx="14">
                  <c:v>48.9</c:v>
                </c:pt>
                <c:pt idx="15">
                  <c:v>49.8</c:v>
                </c:pt>
                <c:pt idx="16">
                  <c:v>50.8</c:v>
                </c:pt>
                <c:pt idx="17">
                  <c:v>51.8</c:v>
                </c:pt>
                <c:pt idx="18">
                  <c:v>52.7</c:v>
                </c:pt>
                <c:pt idx="19">
                  <c:v>53.7</c:v>
                </c:pt>
                <c:pt idx="20">
                  <c:v>54.6</c:v>
                </c:pt>
                <c:pt idx="21">
                  <c:v>55.7</c:v>
                </c:pt>
              </c:numCache>
            </c:numRef>
          </c:yVal>
          <c:smooth val="0"/>
        </c:ser>
        <c:ser>
          <c:idx val="4"/>
          <c:order val="4"/>
          <c:tx>
            <c:strRef>
              <c:f>胸囲データ!$M$26</c:f>
              <c:strCache>
                <c:ptCount val="1"/>
                <c:pt idx="0">
                  <c:v>75%tile</c:v>
                </c:pt>
              </c:strCache>
            </c:strRef>
          </c:tx>
          <c:spPr>
            <a:ln w="9525">
              <a:solidFill>
                <a:schemeClr val="tx1"/>
              </a:solidFill>
            </a:ln>
          </c:spPr>
          <c:marker>
            <c:symbol val="none"/>
          </c:marker>
          <c:dLbls>
            <c:dLbl>
              <c:idx val="13"/>
              <c:layout>
                <c:manualLayout>
                  <c:x val="0.546457491974733"/>
                  <c:y val="-0.256167138014722"/>
                </c:manualLayout>
              </c:layout>
              <c:tx>
                <c:strRef>
                  <c:f>頭囲データ!$M$9</c:f>
                  <c:strCache>
                    <c:ptCount val="1"/>
                    <c:pt idx="0">
                      <c:v>75%tile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{F06997B9-EB35-AA4D-B925-CD8B9F6EEBA7}</c15:txfldGUID>
                      <c15:f>頭囲データ!$M$9</c15:f>
                      <c15:dlblFieldTableCache>
                        <c:ptCount val="1"/>
                        <c:pt idx="0">
                          <c:v>75%tile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胸囲データ!$H$27:$H$48</c:f>
              <c:numCache>
                <c:formatCode>General</c:formatCode>
                <c:ptCount val="22"/>
                <c:pt idx="0">
                  <c:v>0.958333333333333</c:v>
                </c:pt>
                <c:pt idx="1">
                  <c:v>1.041666666666667</c:v>
                </c:pt>
                <c:pt idx="2">
                  <c:v>1.125</c:v>
                </c:pt>
                <c:pt idx="3">
                  <c:v>1.208333333333333</c:v>
                </c:pt>
                <c:pt idx="4">
                  <c:v>1.291666666666666</c:v>
                </c:pt>
                <c:pt idx="5">
                  <c:v>1.375</c:v>
                </c:pt>
                <c:pt idx="6">
                  <c:v>1.458333333333333</c:v>
                </c:pt>
                <c:pt idx="7">
                  <c:v>1.541666666666666</c:v>
                </c:pt>
                <c:pt idx="8">
                  <c:v>1.624999999999999</c:v>
                </c:pt>
                <c:pt idx="9">
                  <c:v>1.708333333333333</c:v>
                </c:pt>
                <c:pt idx="10">
                  <c:v>1.791666666666666</c:v>
                </c:pt>
                <c:pt idx="11">
                  <c:v>1.874999999999999</c:v>
                </c:pt>
                <c:pt idx="12">
                  <c:v>1.958333333333333</c:v>
                </c:pt>
                <c:pt idx="13">
                  <c:v>2.25</c:v>
                </c:pt>
                <c:pt idx="14">
                  <c:v>2.75</c:v>
                </c:pt>
                <c:pt idx="15">
                  <c:v>3.25</c:v>
                </c:pt>
                <c:pt idx="16">
                  <c:v>3.75</c:v>
                </c:pt>
                <c:pt idx="17">
                  <c:v>4.25</c:v>
                </c:pt>
                <c:pt idx="18">
                  <c:v>4.75</c:v>
                </c:pt>
                <c:pt idx="19">
                  <c:v>5.25</c:v>
                </c:pt>
                <c:pt idx="20">
                  <c:v>5.75</c:v>
                </c:pt>
                <c:pt idx="21">
                  <c:v>6.25</c:v>
                </c:pt>
              </c:numCache>
            </c:numRef>
          </c:xVal>
          <c:yVal>
            <c:numRef>
              <c:f>胸囲データ!$M$27:$M$48</c:f>
              <c:numCache>
                <c:formatCode>General</c:formatCode>
                <c:ptCount val="22"/>
                <c:pt idx="0">
                  <c:v>46.1</c:v>
                </c:pt>
                <c:pt idx="1">
                  <c:v>46.4</c:v>
                </c:pt>
                <c:pt idx="2">
                  <c:v>46.7</c:v>
                </c:pt>
                <c:pt idx="3">
                  <c:v>46.9</c:v>
                </c:pt>
                <c:pt idx="4">
                  <c:v>47.2</c:v>
                </c:pt>
                <c:pt idx="5">
                  <c:v>47.4</c:v>
                </c:pt>
                <c:pt idx="6">
                  <c:v>47.6</c:v>
                </c:pt>
                <c:pt idx="7">
                  <c:v>47.8</c:v>
                </c:pt>
                <c:pt idx="8">
                  <c:v>48.1</c:v>
                </c:pt>
                <c:pt idx="9">
                  <c:v>48.3</c:v>
                </c:pt>
                <c:pt idx="10">
                  <c:v>48.5</c:v>
                </c:pt>
                <c:pt idx="11">
                  <c:v>48.6</c:v>
                </c:pt>
                <c:pt idx="12">
                  <c:v>48.8</c:v>
                </c:pt>
                <c:pt idx="13">
                  <c:v>49.4</c:v>
                </c:pt>
                <c:pt idx="14">
                  <c:v>50.3</c:v>
                </c:pt>
                <c:pt idx="15">
                  <c:v>51.3</c:v>
                </c:pt>
                <c:pt idx="16">
                  <c:v>52.3</c:v>
                </c:pt>
                <c:pt idx="17">
                  <c:v>53.3</c:v>
                </c:pt>
                <c:pt idx="18">
                  <c:v>54.4</c:v>
                </c:pt>
                <c:pt idx="19">
                  <c:v>55.5</c:v>
                </c:pt>
                <c:pt idx="20">
                  <c:v>56.7</c:v>
                </c:pt>
                <c:pt idx="21">
                  <c:v>57.9</c:v>
                </c:pt>
              </c:numCache>
            </c:numRef>
          </c:yVal>
          <c:smooth val="0"/>
        </c:ser>
        <c:ser>
          <c:idx val="5"/>
          <c:order val="5"/>
          <c:tx>
            <c:strRef>
              <c:f>胸囲データ!$N$26</c:f>
              <c:strCache>
                <c:ptCount val="1"/>
                <c:pt idx="0">
                  <c:v>90%tile</c:v>
                </c:pt>
              </c:strCache>
            </c:strRef>
          </c:tx>
          <c:spPr>
            <a:ln w="9525">
              <a:solidFill>
                <a:schemeClr val="tx1"/>
              </a:solidFill>
            </a:ln>
          </c:spPr>
          <c:marker>
            <c:symbol val="none"/>
          </c:marker>
          <c:dLbls>
            <c:dLbl>
              <c:idx val="13"/>
              <c:layout>
                <c:manualLayout>
                  <c:x val="0.546457491974733"/>
                  <c:y val="-0.279422314486097"/>
                </c:manualLayout>
              </c:layout>
              <c:tx>
                <c:strRef>
                  <c:f>頭囲データ!$N$9</c:f>
                  <c:strCache>
                    <c:ptCount val="1"/>
                    <c:pt idx="0">
                      <c:v>90%tile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{9A37D8B0-C14B-E44F-B85D-89E2E28957C9}</c15:txfldGUID>
                      <c15:f>頭囲データ!$N$9</c15:f>
                      <c15:dlblFieldTableCache>
                        <c:ptCount val="1"/>
                        <c:pt idx="0">
                          <c:v>90%tile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胸囲データ!$H$27:$H$48</c:f>
              <c:numCache>
                <c:formatCode>General</c:formatCode>
                <c:ptCount val="22"/>
                <c:pt idx="0">
                  <c:v>0.958333333333333</c:v>
                </c:pt>
                <c:pt idx="1">
                  <c:v>1.041666666666667</c:v>
                </c:pt>
                <c:pt idx="2">
                  <c:v>1.125</c:v>
                </c:pt>
                <c:pt idx="3">
                  <c:v>1.208333333333333</c:v>
                </c:pt>
                <c:pt idx="4">
                  <c:v>1.291666666666666</c:v>
                </c:pt>
                <c:pt idx="5">
                  <c:v>1.375</c:v>
                </c:pt>
                <c:pt idx="6">
                  <c:v>1.458333333333333</c:v>
                </c:pt>
                <c:pt idx="7">
                  <c:v>1.541666666666666</c:v>
                </c:pt>
                <c:pt idx="8">
                  <c:v>1.624999999999999</c:v>
                </c:pt>
                <c:pt idx="9">
                  <c:v>1.708333333333333</c:v>
                </c:pt>
                <c:pt idx="10">
                  <c:v>1.791666666666666</c:v>
                </c:pt>
                <c:pt idx="11">
                  <c:v>1.874999999999999</c:v>
                </c:pt>
                <c:pt idx="12">
                  <c:v>1.958333333333333</c:v>
                </c:pt>
                <c:pt idx="13">
                  <c:v>2.25</c:v>
                </c:pt>
                <c:pt idx="14">
                  <c:v>2.75</c:v>
                </c:pt>
                <c:pt idx="15">
                  <c:v>3.25</c:v>
                </c:pt>
                <c:pt idx="16">
                  <c:v>3.75</c:v>
                </c:pt>
                <c:pt idx="17">
                  <c:v>4.25</c:v>
                </c:pt>
                <c:pt idx="18">
                  <c:v>4.75</c:v>
                </c:pt>
                <c:pt idx="19">
                  <c:v>5.25</c:v>
                </c:pt>
                <c:pt idx="20">
                  <c:v>5.75</c:v>
                </c:pt>
                <c:pt idx="21">
                  <c:v>6.25</c:v>
                </c:pt>
              </c:numCache>
            </c:numRef>
          </c:xVal>
          <c:yVal>
            <c:numRef>
              <c:f>胸囲データ!$N$27:$N$48</c:f>
              <c:numCache>
                <c:formatCode>General</c:formatCode>
                <c:ptCount val="22"/>
                <c:pt idx="0">
                  <c:v>47.3</c:v>
                </c:pt>
                <c:pt idx="1">
                  <c:v>47.7</c:v>
                </c:pt>
                <c:pt idx="2">
                  <c:v>48.0</c:v>
                </c:pt>
                <c:pt idx="3">
                  <c:v>48.3</c:v>
                </c:pt>
                <c:pt idx="4">
                  <c:v>48.5</c:v>
                </c:pt>
                <c:pt idx="5">
                  <c:v>48.8</c:v>
                </c:pt>
                <c:pt idx="6">
                  <c:v>49.0</c:v>
                </c:pt>
                <c:pt idx="7">
                  <c:v>49.2</c:v>
                </c:pt>
                <c:pt idx="8">
                  <c:v>49.5</c:v>
                </c:pt>
                <c:pt idx="9">
                  <c:v>49.7</c:v>
                </c:pt>
                <c:pt idx="10">
                  <c:v>49.9</c:v>
                </c:pt>
                <c:pt idx="11">
                  <c:v>50.1</c:v>
                </c:pt>
                <c:pt idx="12">
                  <c:v>50.3</c:v>
                </c:pt>
                <c:pt idx="13">
                  <c:v>51.0</c:v>
                </c:pt>
                <c:pt idx="14">
                  <c:v>52.0</c:v>
                </c:pt>
                <c:pt idx="15">
                  <c:v>53.1</c:v>
                </c:pt>
                <c:pt idx="16">
                  <c:v>54.2</c:v>
                </c:pt>
                <c:pt idx="17">
                  <c:v>55.4</c:v>
                </c:pt>
                <c:pt idx="18">
                  <c:v>56.7</c:v>
                </c:pt>
                <c:pt idx="19">
                  <c:v>58.0</c:v>
                </c:pt>
                <c:pt idx="20">
                  <c:v>59.3</c:v>
                </c:pt>
                <c:pt idx="21">
                  <c:v>60.7</c:v>
                </c:pt>
              </c:numCache>
            </c:numRef>
          </c:yVal>
          <c:smooth val="0"/>
        </c:ser>
        <c:ser>
          <c:idx val="6"/>
          <c:order val="6"/>
          <c:tx>
            <c:strRef>
              <c:f>胸囲データ!$O$26</c:f>
              <c:strCache>
                <c:ptCount val="1"/>
                <c:pt idx="0">
                  <c:v>97%tile</c:v>
                </c:pt>
              </c:strCache>
            </c:strRef>
          </c:tx>
          <c:spPr>
            <a:ln w="9525">
              <a:solidFill>
                <a:prstClr val="black"/>
              </a:solidFill>
            </a:ln>
          </c:spPr>
          <c:marker>
            <c:symbol val="none"/>
          </c:marker>
          <c:dLbls>
            <c:dLbl>
              <c:idx val="13"/>
              <c:layout>
                <c:manualLayout>
                  <c:x val="0.54680568499534"/>
                  <c:y val="-0.30258188418878"/>
                </c:manualLayout>
              </c:layout>
              <c:tx>
                <c:strRef>
                  <c:f>頭囲データ!$O$9</c:f>
                  <c:strCache>
                    <c:ptCount val="1"/>
                    <c:pt idx="0">
                      <c:v>97%tile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{2B3B7CBA-9DD1-7A40-9AE5-3FD851726497}</c15:txfldGUID>
                      <c15:f>頭囲データ!$O$9</c15:f>
                      <c15:dlblFieldTableCache>
                        <c:ptCount val="1"/>
                        <c:pt idx="0">
                          <c:v>97%tile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胸囲データ!$H$27:$H$48</c:f>
              <c:numCache>
                <c:formatCode>General</c:formatCode>
                <c:ptCount val="22"/>
                <c:pt idx="0">
                  <c:v>0.958333333333333</c:v>
                </c:pt>
                <c:pt idx="1">
                  <c:v>1.041666666666667</c:v>
                </c:pt>
                <c:pt idx="2">
                  <c:v>1.125</c:v>
                </c:pt>
                <c:pt idx="3">
                  <c:v>1.208333333333333</c:v>
                </c:pt>
                <c:pt idx="4">
                  <c:v>1.291666666666666</c:v>
                </c:pt>
                <c:pt idx="5">
                  <c:v>1.375</c:v>
                </c:pt>
                <c:pt idx="6">
                  <c:v>1.458333333333333</c:v>
                </c:pt>
                <c:pt idx="7">
                  <c:v>1.541666666666666</c:v>
                </c:pt>
                <c:pt idx="8">
                  <c:v>1.624999999999999</c:v>
                </c:pt>
                <c:pt idx="9">
                  <c:v>1.708333333333333</c:v>
                </c:pt>
                <c:pt idx="10">
                  <c:v>1.791666666666666</c:v>
                </c:pt>
                <c:pt idx="11">
                  <c:v>1.874999999999999</c:v>
                </c:pt>
                <c:pt idx="12">
                  <c:v>1.958333333333333</c:v>
                </c:pt>
                <c:pt idx="13">
                  <c:v>2.25</c:v>
                </c:pt>
                <c:pt idx="14">
                  <c:v>2.75</c:v>
                </c:pt>
                <c:pt idx="15">
                  <c:v>3.25</c:v>
                </c:pt>
                <c:pt idx="16">
                  <c:v>3.75</c:v>
                </c:pt>
                <c:pt idx="17">
                  <c:v>4.25</c:v>
                </c:pt>
                <c:pt idx="18">
                  <c:v>4.75</c:v>
                </c:pt>
                <c:pt idx="19">
                  <c:v>5.25</c:v>
                </c:pt>
                <c:pt idx="20">
                  <c:v>5.75</c:v>
                </c:pt>
                <c:pt idx="21">
                  <c:v>6.25</c:v>
                </c:pt>
              </c:numCache>
            </c:numRef>
          </c:xVal>
          <c:yVal>
            <c:numRef>
              <c:f>胸囲データ!$O$27:$O$48</c:f>
              <c:numCache>
                <c:formatCode>General</c:formatCode>
                <c:ptCount val="22"/>
                <c:pt idx="0">
                  <c:v>48.7</c:v>
                </c:pt>
                <c:pt idx="1">
                  <c:v>49.1</c:v>
                </c:pt>
                <c:pt idx="2">
                  <c:v>49.4</c:v>
                </c:pt>
                <c:pt idx="3">
                  <c:v>49.7</c:v>
                </c:pt>
                <c:pt idx="4">
                  <c:v>49.9</c:v>
                </c:pt>
                <c:pt idx="5">
                  <c:v>50.1</c:v>
                </c:pt>
                <c:pt idx="6">
                  <c:v>50.4</c:v>
                </c:pt>
                <c:pt idx="7">
                  <c:v>50.6</c:v>
                </c:pt>
                <c:pt idx="8">
                  <c:v>50.9</c:v>
                </c:pt>
                <c:pt idx="9">
                  <c:v>51.1</c:v>
                </c:pt>
                <c:pt idx="10">
                  <c:v>51.3</c:v>
                </c:pt>
                <c:pt idx="11">
                  <c:v>51.6</c:v>
                </c:pt>
                <c:pt idx="12">
                  <c:v>51.8</c:v>
                </c:pt>
                <c:pt idx="13">
                  <c:v>52.4</c:v>
                </c:pt>
                <c:pt idx="14">
                  <c:v>53.6</c:v>
                </c:pt>
                <c:pt idx="15">
                  <c:v>54.8</c:v>
                </c:pt>
                <c:pt idx="16">
                  <c:v>56.0</c:v>
                </c:pt>
                <c:pt idx="17">
                  <c:v>57.6</c:v>
                </c:pt>
                <c:pt idx="18">
                  <c:v>59.1</c:v>
                </c:pt>
                <c:pt idx="19">
                  <c:v>60.6</c:v>
                </c:pt>
                <c:pt idx="20">
                  <c:v>62.1</c:v>
                </c:pt>
                <c:pt idx="21">
                  <c:v>63.6</c:v>
                </c:pt>
              </c:numCache>
            </c:numRef>
          </c:yVal>
          <c:smooth val="0"/>
        </c:ser>
        <c:ser>
          <c:idx val="7"/>
          <c:order val="7"/>
          <c:tx>
            <c:strRef>
              <c:f>入力!$B$1</c:f>
              <c:strCache>
                <c:ptCount val="1"/>
              </c:strCache>
            </c:strRef>
          </c:tx>
          <c:spPr>
            <a:ln w="28575">
              <a:noFill/>
            </a:ln>
          </c:spPr>
          <c:marker>
            <c:symbol val="circle"/>
            <c:size val="7"/>
            <c:spPr>
              <a:solidFill>
                <a:srgbClr val="FF0000"/>
              </a:solidFill>
              <a:ln>
                <a:solidFill>
                  <a:sysClr val="window" lastClr="FFFFFF"/>
                </a:solidFill>
              </a:ln>
            </c:spPr>
          </c:marker>
          <c:xVal>
            <c:numRef>
              <c:f>入力!$W$7:$W$156</c:f>
              <c:numCache>
                <c:formatCode>0.00_);[Red]\(0.00\)</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入力!$E$7:$E$156</c:f>
              <c:numCache>
                <c:formatCode>General</c:formatCode>
                <c:ptCount val="150"/>
              </c:numCache>
            </c:numRef>
          </c:yVal>
          <c:smooth val="0"/>
        </c:ser>
        <c:dLbls>
          <c:showLegendKey val="0"/>
          <c:showVal val="0"/>
          <c:showCatName val="0"/>
          <c:showSerName val="0"/>
          <c:showPercent val="0"/>
          <c:showBubbleSize val="0"/>
        </c:dLbls>
        <c:axId val="-880535488"/>
        <c:axId val="-880612896"/>
      </c:scatterChart>
      <c:valAx>
        <c:axId val="-880535488"/>
        <c:scaling>
          <c:orientation val="minMax"/>
          <c:max val="6.0"/>
          <c:min val="1.0"/>
        </c:scaling>
        <c:delete val="0"/>
        <c:axPos val="b"/>
        <c:majorGridlines/>
        <c:minorGridlines/>
        <c:title>
          <c:tx>
            <c:strRef>
              <c:f>頭囲データ!$H$26</c:f>
              <c:strCache>
                <c:ptCount val="1"/>
                <c:pt idx="0">
                  <c:v>年齢(歳)</c:v>
                </c:pt>
              </c:strCache>
            </c:strRef>
          </c:tx>
          <c:layout>
            <c:manualLayout>
              <c:xMode val="edge"/>
              <c:yMode val="edge"/>
              <c:x val="0.45303125"/>
              <c:y val="0.934724183006536"/>
            </c:manualLayout>
          </c:layout>
          <c:overlay val="0"/>
          <c:txPr>
            <a:bodyPr/>
            <a:lstStyle/>
            <a:p>
              <a:pPr>
                <a:defRPr/>
              </a:pPr>
              <a:endParaRPr lang="ja-JP"/>
            </a:p>
          </c:txPr>
        </c:title>
        <c:numFmt formatCode="General" sourceLinked="1"/>
        <c:majorTickMark val="out"/>
        <c:minorTickMark val="none"/>
        <c:tickLblPos val="nextTo"/>
        <c:crossAx val="-880612896"/>
        <c:crosses val="autoZero"/>
        <c:crossBetween val="midCat"/>
        <c:majorUnit val="1.0"/>
        <c:minorUnit val="0.5"/>
      </c:valAx>
      <c:valAx>
        <c:axId val="-880612896"/>
        <c:scaling>
          <c:orientation val="minMax"/>
          <c:min val="40.0"/>
        </c:scaling>
        <c:delete val="0"/>
        <c:axPos val="l"/>
        <c:majorGridlines/>
        <c:minorGridlines/>
        <c:title>
          <c:tx>
            <c:rich>
              <a:bodyPr rot="0" vert="wordArtVertRtl"/>
              <a:lstStyle/>
              <a:p>
                <a:pPr>
                  <a:defRPr/>
                </a:pPr>
                <a:r>
                  <a:rPr lang="ja-JP" altLang="en-US"/>
                  <a:t>胸囲</a:t>
                </a:r>
                <a:r>
                  <a:rPr lang="en-US" altLang="ja-JP"/>
                  <a:t>(cm)</a:t>
                </a:r>
                <a:endParaRPr lang="ja-JP" altLang="en-US"/>
              </a:p>
            </c:rich>
          </c:tx>
          <c:overlay val="0"/>
        </c:title>
        <c:numFmt formatCode="General" sourceLinked="1"/>
        <c:majorTickMark val="out"/>
        <c:minorTickMark val="none"/>
        <c:tickLblPos val="nextTo"/>
        <c:crossAx val="-880535488"/>
        <c:crosses val="autoZero"/>
        <c:crossBetween val="midCat"/>
        <c:majorUnit val="5.0"/>
        <c:minorUnit val="1.0"/>
      </c:valAx>
    </c:plotArea>
    <c:plotVisOnly val="1"/>
    <c:dispBlanksAs val="gap"/>
    <c:showDLblsOverMax val="0"/>
  </c:chart>
  <c:printSettings>
    <c:headerFooter/>
    <c:pageMargins b="0.750000000000002" l="0.700000000000001" r="0.700000000000001" t="0.750000000000002"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入力!$V$4</c:f>
          <c:strCache>
            <c:ptCount val="1"/>
            <c:pt idx="0">
              <c:v>横断的標準身長・体重曲線 児(0-12カ月)</c:v>
            </c:pt>
          </c:strCache>
        </c:strRef>
      </c:tx>
      <c:overlay val="1"/>
    </c:title>
    <c:autoTitleDeleted val="0"/>
    <c:plotArea>
      <c:layout>
        <c:manualLayout>
          <c:layoutTarget val="inner"/>
          <c:xMode val="edge"/>
          <c:yMode val="edge"/>
          <c:x val="0.108916666666667"/>
          <c:y val="0.0634071759259259"/>
          <c:w val="0.784989379084966"/>
          <c:h val="0.85685127314816"/>
        </c:manualLayout>
      </c:layout>
      <c:scatterChart>
        <c:scatterStyle val="lineMarker"/>
        <c:varyColors val="0"/>
        <c:ser>
          <c:idx val="0"/>
          <c:order val="0"/>
          <c:tx>
            <c:strRef>
              <c:f>成長曲線_データ!$F$2</c:f>
              <c:strCache>
                <c:ptCount val="1"/>
                <c:pt idx="0">
                  <c:v>平均身長</c:v>
                </c:pt>
              </c:strCache>
            </c:strRef>
          </c:tx>
          <c:spPr>
            <a:ln w="38100">
              <a:solidFill>
                <a:schemeClr val="tx1"/>
              </a:solidFill>
            </a:ln>
          </c:spPr>
          <c:marker>
            <c:symbol val="none"/>
          </c:marker>
          <c:xVal>
            <c:numRef>
              <c:f>成長曲線_データ!$C$4:$C$28</c:f>
              <c:numCache>
                <c:formatCode>General</c:formatCode>
                <c:ptCount val="2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numCache>
            </c:numRef>
          </c:xVal>
          <c:yVal>
            <c:numRef>
              <c:f>成長曲線_データ!$F$4:$F$28</c:f>
              <c:numCache>
                <c:formatCode>General</c:formatCode>
                <c:ptCount val="25"/>
                <c:pt idx="0">
                  <c:v>48.4</c:v>
                </c:pt>
                <c:pt idx="1">
                  <c:v>52.6</c:v>
                </c:pt>
                <c:pt idx="2">
                  <c:v>56.7</c:v>
                </c:pt>
                <c:pt idx="3">
                  <c:v>60.0</c:v>
                </c:pt>
                <c:pt idx="4">
                  <c:v>62.6</c:v>
                </c:pt>
                <c:pt idx="5">
                  <c:v>64.6</c:v>
                </c:pt>
                <c:pt idx="6">
                  <c:v>66.2</c:v>
                </c:pt>
                <c:pt idx="7">
                  <c:v>67.5</c:v>
                </c:pt>
                <c:pt idx="8">
                  <c:v>68.9</c:v>
                </c:pt>
                <c:pt idx="9">
                  <c:v>70.0</c:v>
                </c:pt>
                <c:pt idx="10">
                  <c:v>71.2</c:v>
                </c:pt>
                <c:pt idx="11">
                  <c:v>72.3</c:v>
                </c:pt>
                <c:pt idx="12">
                  <c:v>73.4</c:v>
                </c:pt>
                <c:pt idx="13">
                  <c:v>74.5</c:v>
                </c:pt>
                <c:pt idx="14">
                  <c:v>75.5</c:v>
                </c:pt>
                <c:pt idx="15">
                  <c:v>76.5</c:v>
                </c:pt>
                <c:pt idx="16">
                  <c:v>77.5</c:v>
                </c:pt>
                <c:pt idx="17">
                  <c:v>78.4</c:v>
                </c:pt>
                <c:pt idx="18">
                  <c:v>79.4</c:v>
                </c:pt>
                <c:pt idx="19">
                  <c:v>80.3</c:v>
                </c:pt>
                <c:pt idx="20">
                  <c:v>81.2</c:v>
                </c:pt>
                <c:pt idx="21">
                  <c:v>82.0</c:v>
                </c:pt>
                <c:pt idx="22">
                  <c:v>82.8</c:v>
                </c:pt>
                <c:pt idx="23">
                  <c:v>83.5</c:v>
                </c:pt>
                <c:pt idx="24">
                  <c:v>84.3</c:v>
                </c:pt>
              </c:numCache>
            </c:numRef>
          </c:yVal>
          <c:smooth val="0"/>
        </c:ser>
        <c:ser>
          <c:idx val="1"/>
          <c:order val="1"/>
          <c:tx>
            <c:strRef>
              <c:f>成長曲線_データ!$H$2</c:f>
              <c:strCache>
                <c:ptCount val="1"/>
                <c:pt idx="0">
                  <c:v>+2SD</c:v>
                </c:pt>
              </c:strCache>
            </c:strRef>
          </c:tx>
          <c:spPr>
            <a:ln w="12700">
              <a:solidFill>
                <a:schemeClr val="tx1"/>
              </a:solidFill>
            </a:ln>
          </c:spPr>
          <c:marker>
            <c:symbol val="none"/>
          </c:marker>
          <c:xVal>
            <c:numRef>
              <c:f>成長曲線_データ!$C$4:$C$28</c:f>
              <c:numCache>
                <c:formatCode>General</c:formatCode>
                <c:ptCount val="2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numCache>
            </c:numRef>
          </c:xVal>
          <c:yVal>
            <c:numRef>
              <c:f>成長曲線_データ!$H$4:$H$28</c:f>
              <c:numCache>
                <c:formatCode>General</c:formatCode>
                <c:ptCount val="25"/>
                <c:pt idx="0">
                  <c:v>52.6</c:v>
                </c:pt>
                <c:pt idx="1">
                  <c:v>56.8</c:v>
                </c:pt>
                <c:pt idx="2">
                  <c:v>61.1</c:v>
                </c:pt>
                <c:pt idx="3">
                  <c:v>64.4</c:v>
                </c:pt>
                <c:pt idx="4">
                  <c:v>67.0</c:v>
                </c:pt>
                <c:pt idx="5">
                  <c:v>69.19999999999998</c:v>
                </c:pt>
                <c:pt idx="6">
                  <c:v>70.8</c:v>
                </c:pt>
                <c:pt idx="7">
                  <c:v>72.1</c:v>
                </c:pt>
                <c:pt idx="8">
                  <c:v>73.7</c:v>
                </c:pt>
                <c:pt idx="9">
                  <c:v>74.8</c:v>
                </c:pt>
                <c:pt idx="10">
                  <c:v>76.0</c:v>
                </c:pt>
                <c:pt idx="11">
                  <c:v>77.3</c:v>
                </c:pt>
                <c:pt idx="12">
                  <c:v>78.4</c:v>
                </c:pt>
                <c:pt idx="13">
                  <c:v>79.5</c:v>
                </c:pt>
                <c:pt idx="14">
                  <c:v>80.7</c:v>
                </c:pt>
                <c:pt idx="15">
                  <c:v>81.7</c:v>
                </c:pt>
                <c:pt idx="16">
                  <c:v>82.7</c:v>
                </c:pt>
                <c:pt idx="17">
                  <c:v>83.80000000000001</c:v>
                </c:pt>
                <c:pt idx="18">
                  <c:v>84.80000000000001</c:v>
                </c:pt>
                <c:pt idx="19">
                  <c:v>85.9</c:v>
                </c:pt>
                <c:pt idx="20">
                  <c:v>86.8</c:v>
                </c:pt>
                <c:pt idx="21">
                  <c:v>87.6</c:v>
                </c:pt>
                <c:pt idx="22">
                  <c:v>88.6</c:v>
                </c:pt>
                <c:pt idx="23">
                  <c:v>89.3</c:v>
                </c:pt>
                <c:pt idx="24">
                  <c:v>90.1</c:v>
                </c:pt>
              </c:numCache>
            </c:numRef>
          </c:yVal>
          <c:smooth val="0"/>
        </c:ser>
        <c:ser>
          <c:idx val="2"/>
          <c:order val="2"/>
          <c:tx>
            <c:strRef>
              <c:f>成長曲線_データ!$I$2</c:f>
              <c:strCache>
                <c:ptCount val="1"/>
                <c:pt idx="0">
                  <c:v>+1SD</c:v>
                </c:pt>
              </c:strCache>
            </c:strRef>
          </c:tx>
          <c:spPr>
            <a:ln w="12700">
              <a:solidFill>
                <a:sysClr val="windowText" lastClr="000000"/>
              </a:solidFill>
            </a:ln>
          </c:spPr>
          <c:marker>
            <c:symbol val="none"/>
          </c:marker>
          <c:xVal>
            <c:numRef>
              <c:f>成長曲線_データ!$C$4:$C$28</c:f>
              <c:numCache>
                <c:formatCode>General</c:formatCode>
                <c:ptCount val="2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numCache>
            </c:numRef>
          </c:xVal>
          <c:yVal>
            <c:numRef>
              <c:f>成長曲線_データ!$I$4:$I$28</c:f>
              <c:numCache>
                <c:formatCode>General</c:formatCode>
                <c:ptCount val="25"/>
                <c:pt idx="0">
                  <c:v>50.5</c:v>
                </c:pt>
                <c:pt idx="1">
                  <c:v>54.7</c:v>
                </c:pt>
                <c:pt idx="2">
                  <c:v>58.90000000000001</c:v>
                </c:pt>
                <c:pt idx="3">
                  <c:v>62.2</c:v>
                </c:pt>
                <c:pt idx="4">
                  <c:v>64.8</c:v>
                </c:pt>
                <c:pt idx="5">
                  <c:v>66.9</c:v>
                </c:pt>
                <c:pt idx="6">
                  <c:v>68.5</c:v>
                </c:pt>
                <c:pt idx="7">
                  <c:v>69.8</c:v>
                </c:pt>
                <c:pt idx="8">
                  <c:v>71.30000000000001</c:v>
                </c:pt>
                <c:pt idx="9">
                  <c:v>72.4</c:v>
                </c:pt>
                <c:pt idx="10">
                  <c:v>73.60000000000001</c:v>
                </c:pt>
                <c:pt idx="11">
                  <c:v>74.8</c:v>
                </c:pt>
                <c:pt idx="12">
                  <c:v>75.9</c:v>
                </c:pt>
                <c:pt idx="13">
                  <c:v>77.0</c:v>
                </c:pt>
                <c:pt idx="14">
                  <c:v>78.1</c:v>
                </c:pt>
                <c:pt idx="15">
                  <c:v>79.1</c:v>
                </c:pt>
                <c:pt idx="16">
                  <c:v>80.1</c:v>
                </c:pt>
                <c:pt idx="17">
                  <c:v>81.10000000000001</c:v>
                </c:pt>
                <c:pt idx="18">
                  <c:v>82.10000000000001</c:v>
                </c:pt>
                <c:pt idx="19">
                  <c:v>83.1</c:v>
                </c:pt>
                <c:pt idx="20">
                  <c:v>84.0</c:v>
                </c:pt>
                <c:pt idx="21">
                  <c:v>84.8</c:v>
                </c:pt>
                <c:pt idx="22">
                  <c:v>85.7</c:v>
                </c:pt>
                <c:pt idx="23">
                  <c:v>86.4</c:v>
                </c:pt>
                <c:pt idx="24">
                  <c:v>87.2</c:v>
                </c:pt>
              </c:numCache>
            </c:numRef>
          </c:yVal>
          <c:smooth val="0"/>
        </c:ser>
        <c:ser>
          <c:idx val="3"/>
          <c:order val="3"/>
          <c:tx>
            <c:strRef>
              <c:f>成長曲線_データ!$J$2</c:f>
              <c:strCache>
                <c:ptCount val="1"/>
                <c:pt idx="0">
                  <c:v>-1SD</c:v>
                </c:pt>
              </c:strCache>
            </c:strRef>
          </c:tx>
          <c:spPr>
            <a:ln w="12700">
              <a:solidFill>
                <a:sysClr val="windowText" lastClr="000000"/>
              </a:solidFill>
            </a:ln>
          </c:spPr>
          <c:marker>
            <c:symbol val="none"/>
          </c:marker>
          <c:xVal>
            <c:numRef>
              <c:f>成長曲線_データ!$C$4:$C$28</c:f>
              <c:numCache>
                <c:formatCode>General</c:formatCode>
                <c:ptCount val="2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numCache>
            </c:numRef>
          </c:xVal>
          <c:yVal>
            <c:numRef>
              <c:f>成長曲線_データ!$J$4:$J$28</c:f>
              <c:numCache>
                <c:formatCode>General</c:formatCode>
                <c:ptCount val="25"/>
                <c:pt idx="0">
                  <c:v>46.3</c:v>
                </c:pt>
                <c:pt idx="1">
                  <c:v>50.5</c:v>
                </c:pt>
                <c:pt idx="2">
                  <c:v>54.5</c:v>
                </c:pt>
                <c:pt idx="3">
                  <c:v>57.8</c:v>
                </c:pt>
                <c:pt idx="4">
                  <c:v>60.4</c:v>
                </c:pt>
                <c:pt idx="5">
                  <c:v>62.3</c:v>
                </c:pt>
                <c:pt idx="6">
                  <c:v>63.90000000000001</c:v>
                </c:pt>
                <c:pt idx="7">
                  <c:v>65.2</c:v>
                </c:pt>
                <c:pt idx="8">
                  <c:v>66.5</c:v>
                </c:pt>
                <c:pt idx="9">
                  <c:v>67.6</c:v>
                </c:pt>
                <c:pt idx="10">
                  <c:v>68.8</c:v>
                </c:pt>
                <c:pt idx="11">
                  <c:v>69.8</c:v>
                </c:pt>
                <c:pt idx="12">
                  <c:v>70.9</c:v>
                </c:pt>
                <c:pt idx="13">
                  <c:v>72.0</c:v>
                </c:pt>
                <c:pt idx="14">
                  <c:v>72.9</c:v>
                </c:pt>
                <c:pt idx="15">
                  <c:v>73.9</c:v>
                </c:pt>
                <c:pt idx="16">
                  <c:v>74.9</c:v>
                </c:pt>
                <c:pt idx="17">
                  <c:v>75.7</c:v>
                </c:pt>
                <c:pt idx="18">
                  <c:v>76.7</c:v>
                </c:pt>
                <c:pt idx="19">
                  <c:v>77.5</c:v>
                </c:pt>
                <c:pt idx="20">
                  <c:v>78.4</c:v>
                </c:pt>
                <c:pt idx="21">
                  <c:v>79.2</c:v>
                </c:pt>
                <c:pt idx="22">
                  <c:v>79.9</c:v>
                </c:pt>
                <c:pt idx="23">
                  <c:v>80.6</c:v>
                </c:pt>
                <c:pt idx="24">
                  <c:v>81.4</c:v>
                </c:pt>
              </c:numCache>
            </c:numRef>
          </c:yVal>
          <c:smooth val="0"/>
        </c:ser>
        <c:ser>
          <c:idx val="4"/>
          <c:order val="4"/>
          <c:tx>
            <c:strRef>
              <c:f>成長曲線_データ!$K$2</c:f>
              <c:strCache>
                <c:ptCount val="1"/>
                <c:pt idx="0">
                  <c:v>-2SD</c:v>
                </c:pt>
              </c:strCache>
            </c:strRef>
          </c:tx>
          <c:spPr>
            <a:ln w="12700">
              <a:solidFill>
                <a:schemeClr val="tx1"/>
              </a:solidFill>
            </a:ln>
          </c:spPr>
          <c:marker>
            <c:symbol val="none"/>
          </c:marker>
          <c:xVal>
            <c:numRef>
              <c:f>成長曲線_データ!$C$4:$C$28</c:f>
              <c:numCache>
                <c:formatCode>General</c:formatCode>
                <c:ptCount val="2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numCache>
            </c:numRef>
          </c:xVal>
          <c:yVal>
            <c:numRef>
              <c:f>成長曲線_データ!$K$4:$K$28</c:f>
              <c:numCache>
                <c:formatCode>General</c:formatCode>
                <c:ptCount val="25"/>
                <c:pt idx="0">
                  <c:v>44.2</c:v>
                </c:pt>
                <c:pt idx="1">
                  <c:v>48.4</c:v>
                </c:pt>
                <c:pt idx="2">
                  <c:v>52.3</c:v>
                </c:pt>
                <c:pt idx="3">
                  <c:v>55.6</c:v>
                </c:pt>
                <c:pt idx="4">
                  <c:v>58.2</c:v>
                </c:pt>
                <c:pt idx="5">
                  <c:v>6</c:v>
                </c:pt>
                <c:pt idx="6">
                  <c:v>61.6</c:v>
                </c:pt>
                <c:pt idx="7">
                  <c:v>62.9</c:v>
                </c:pt>
                <c:pt idx="8">
                  <c:v>64.10000000000001</c:v>
                </c:pt>
                <c:pt idx="9">
                  <c:v>65.2</c:v>
                </c:pt>
                <c:pt idx="10">
                  <c:v>66.4</c:v>
                </c:pt>
                <c:pt idx="11">
                  <c:v>67.3</c:v>
                </c:pt>
                <c:pt idx="12">
                  <c:v>68.4</c:v>
                </c:pt>
                <c:pt idx="13">
                  <c:v>69.5</c:v>
                </c:pt>
                <c:pt idx="14">
                  <c:v>70.3</c:v>
                </c:pt>
                <c:pt idx="15">
                  <c:v>71.3</c:v>
                </c:pt>
                <c:pt idx="16">
                  <c:v>72.3</c:v>
                </c:pt>
                <c:pt idx="17">
                  <c:v>73.0</c:v>
                </c:pt>
                <c:pt idx="18">
                  <c:v>74.0</c:v>
                </c:pt>
                <c:pt idx="19">
                  <c:v>74.7</c:v>
                </c:pt>
                <c:pt idx="20">
                  <c:v>75.60000000000001</c:v>
                </c:pt>
                <c:pt idx="21">
                  <c:v>76.4</c:v>
                </c:pt>
                <c:pt idx="22">
                  <c:v>77.0</c:v>
                </c:pt>
                <c:pt idx="23">
                  <c:v>77.7</c:v>
                </c:pt>
                <c:pt idx="24">
                  <c:v>78.5</c:v>
                </c:pt>
              </c:numCache>
            </c:numRef>
          </c:yVal>
          <c:smooth val="0"/>
        </c:ser>
        <c:ser>
          <c:idx val="5"/>
          <c:order val="5"/>
          <c:tx>
            <c:strRef>
              <c:f>成長曲線_データ!$L$2</c:f>
              <c:strCache>
                <c:ptCount val="1"/>
                <c:pt idx="0">
                  <c:v>-2.5SD</c:v>
                </c:pt>
              </c:strCache>
            </c:strRef>
          </c:tx>
          <c:spPr>
            <a:ln w="12700">
              <a:solidFill>
                <a:sysClr val="windowText" lastClr="000000"/>
              </a:solidFill>
              <a:prstDash val="dash"/>
            </a:ln>
          </c:spPr>
          <c:marker>
            <c:symbol val="none"/>
          </c:marker>
          <c:xVal>
            <c:numRef>
              <c:f>成長曲線_データ!$C$4:$C$28</c:f>
              <c:numCache>
                <c:formatCode>General</c:formatCode>
                <c:ptCount val="2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numCache>
            </c:numRef>
          </c:xVal>
          <c:yVal>
            <c:numRef>
              <c:f>成長曲線_データ!$L$4:$L$28</c:f>
              <c:numCache>
                <c:formatCode>General</c:formatCode>
                <c:ptCount val="25"/>
                <c:pt idx="0">
                  <c:v>43.15</c:v>
                </c:pt>
                <c:pt idx="1">
                  <c:v>47.35</c:v>
                </c:pt>
                <c:pt idx="2">
                  <c:v>51.2</c:v>
                </c:pt>
                <c:pt idx="3">
                  <c:v>54.5</c:v>
                </c:pt>
                <c:pt idx="4">
                  <c:v>57.1</c:v>
                </c:pt>
                <c:pt idx="5">
                  <c:v>58.85</c:v>
                </c:pt>
                <c:pt idx="6">
                  <c:v>60.45</c:v>
                </c:pt>
                <c:pt idx="7">
                  <c:v>61.75</c:v>
                </c:pt>
                <c:pt idx="8">
                  <c:v>62.90000000000001</c:v>
                </c:pt>
                <c:pt idx="9">
                  <c:v>64.0</c:v>
                </c:pt>
                <c:pt idx="10">
                  <c:v>65.2</c:v>
                </c:pt>
                <c:pt idx="11">
                  <c:v>66.05</c:v>
                </c:pt>
                <c:pt idx="12">
                  <c:v>67.15000000000001</c:v>
                </c:pt>
                <c:pt idx="13">
                  <c:v>68.25</c:v>
                </c:pt>
                <c:pt idx="14">
                  <c:v>69.0</c:v>
                </c:pt>
                <c:pt idx="15">
                  <c:v>70.0</c:v>
                </c:pt>
                <c:pt idx="16">
                  <c:v>71.0</c:v>
                </c:pt>
                <c:pt idx="17">
                  <c:v>71.65000000000001</c:v>
                </c:pt>
                <c:pt idx="18">
                  <c:v>72.65000000000001</c:v>
                </c:pt>
                <c:pt idx="19">
                  <c:v>73.3</c:v>
                </c:pt>
                <c:pt idx="20">
                  <c:v>74.2</c:v>
                </c:pt>
                <c:pt idx="21">
                  <c:v>75.0</c:v>
                </c:pt>
                <c:pt idx="22">
                  <c:v>75.55</c:v>
                </c:pt>
                <c:pt idx="23">
                  <c:v>76.25</c:v>
                </c:pt>
                <c:pt idx="24">
                  <c:v>77.05</c:v>
                </c:pt>
              </c:numCache>
            </c:numRef>
          </c:yVal>
          <c:smooth val="0"/>
        </c:ser>
        <c:ser>
          <c:idx val="6"/>
          <c:order val="6"/>
          <c:tx>
            <c:strRef>
              <c:f>成長曲線_データ!$M$2</c:f>
              <c:strCache>
                <c:ptCount val="1"/>
                <c:pt idx="0">
                  <c:v>-3SD</c:v>
                </c:pt>
              </c:strCache>
            </c:strRef>
          </c:tx>
          <c:spPr>
            <a:ln w="12700">
              <a:solidFill>
                <a:sysClr val="windowText" lastClr="000000"/>
              </a:solidFill>
            </a:ln>
          </c:spPr>
          <c:marker>
            <c:symbol val="none"/>
          </c:marker>
          <c:xVal>
            <c:numRef>
              <c:f>成長曲線_データ!$C$4:$C$28</c:f>
              <c:numCache>
                <c:formatCode>General</c:formatCode>
                <c:ptCount val="2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numCache>
            </c:numRef>
          </c:xVal>
          <c:yVal>
            <c:numRef>
              <c:f>成長曲線_データ!$M$4:$M$28</c:f>
              <c:numCache>
                <c:formatCode>General</c:formatCode>
                <c:ptCount val="25"/>
                <c:pt idx="0">
                  <c:v>42.1</c:v>
                </c:pt>
                <c:pt idx="1">
                  <c:v>46.3</c:v>
                </c:pt>
                <c:pt idx="2">
                  <c:v>50.1</c:v>
                </c:pt>
                <c:pt idx="3">
                  <c:v>53.4</c:v>
                </c:pt>
                <c:pt idx="4">
                  <c:v>56.0</c:v>
                </c:pt>
                <c:pt idx="5">
                  <c:v>57.7</c:v>
                </c:pt>
                <c:pt idx="6">
                  <c:v>59.3</c:v>
                </c:pt>
                <c:pt idx="7">
                  <c:v>60.6</c:v>
                </c:pt>
                <c:pt idx="8">
                  <c:v>61.7</c:v>
                </c:pt>
                <c:pt idx="9">
                  <c:v>62.8</c:v>
                </c:pt>
                <c:pt idx="10">
                  <c:v>64.0</c:v>
                </c:pt>
                <c:pt idx="11">
                  <c:v>64.8</c:v>
                </c:pt>
                <c:pt idx="12">
                  <c:v>65.9</c:v>
                </c:pt>
                <c:pt idx="13">
                  <c:v>67.0</c:v>
                </c:pt>
                <c:pt idx="14">
                  <c:v>67.7</c:v>
                </c:pt>
                <c:pt idx="15">
                  <c:v>68.7</c:v>
                </c:pt>
                <c:pt idx="16">
                  <c:v>69.7</c:v>
                </c:pt>
                <c:pt idx="17">
                  <c:v>70.30000000000001</c:v>
                </c:pt>
                <c:pt idx="18">
                  <c:v>71.30000000000001</c:v>
                </c:pt>
                <c:pt idx="19">
                  <c:v>71.9</c:v>
                </c:pt>
                <c:pt idx="20">
                  <c:v>72.80000000000001</c:v>
                </c:pt>
                <c:pt idx="21">
                  <c:v>73.6</c:v>
                </c:pt>
                <c:pt idx="22">
                  <c:v>74.1</c:v>
                </c:pt>
                <c:pt idx="23">
                  <c:v>74.8</c:v>
                </c:pt>
                <c:pt idx="24">
                  <c:v>75.6</c:v>
                </c:pt>
              </c:numCache>
            </c:numRef>
          </c:yVal>
          <c:smooth val="0"/>
        </c:ser>
        <c:ser>
          <c:idx val="12"/>
          <c:order val="12"/>
          <c:tx>
            <c:strRef>
              <c:f>入力!$V$10</c:f>
              <c:strCache>
                <c:ptCount val="1"/>
                <c:pt idx="0">
                  <c:v> 身長</c:v>
                </c:pt>
              </c:strCache>
            </c:strRef>
          </c:tx>
          <c:spPr>
            <a:ln>
              <a:noFill/>
            </a:ln>
          </c:spPr>
          <c:marker>
            <c:symbol val="circle"/>
            <c:size val="8"/>
            <c:spPr>
              <a:solidFill>
                <a:srgbClr val="FF0000"/>
              </a:solidFill>
              <a:ln w="19050">
                <a:solidFill>
                  <a:sysClr val="window" lastClr="FFFFFF"/>
                </a:solidFill>
              </a:ln>
            </c:spPr>
          </c:marker>
          <c:xVal>
            <c:numRef>
              <c:f>入力!$AL$7:$AL$156</c:f>
              <c:numCache>
                <c:formatCode>0.0_ </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入力!$B$7:$B$156</c:f>
              <c:numCache>
                <c:formatCode>General</c:formatCode>
                <c:ptCount val="150"/>
              </c:numCache>
            </c:numRef>
          </c:yVal>
          <c:smooth val="0"/>
        </c:ser>
        <c:dLbls>
          <c:showLegendKey val="0"/>
          <c:showVal val="0"/>
          <c:showCatName val="0"/>
          <c:showSerName val="0"/>
          <c:showPercent val="0"/>
          <c:showBubbleSize val="0"/>
        </c:dLbls>
        <c:axId val="-885858448"/>
        <c:axId val="-885850944"/>
      </c:scatterChart>
      <c:scatterChart>
        <c:scatterStyle val="lineMarker"/>
        <c:varyColors val="0"/>
        <c:ser>
          <c:idx val="7"/>
          <c:order val="7"/>
          <c:tx>
            <c:strRef>
              <c:f>成長曲線_データ!$O$2</c:f>
              <c:strCache>
                <c:ptCount val="1"/>
                <c:pt idx="0">
                  <c:v>平均体重</c:v>
                </c:pt>
              </c:strCache>
            </c:strRef>
          </c:tx>
          <c:spPr>
            <a:ln>
              <a:solidFill>
                <a:schemeClr val="tx1"/>
              </a:solidFill>
            </a:ln>
          </c:spPr>
          <c:marker>
            <c:symbol val="none"/>
          </c:marker>
          <c:xVal>
            <c:numRef>
              <c:f>成長曲線_データ!$C$4:$C$28</c:f>
              <c:numCache>
                <c:formatCode>General</c:formatCode>
                <c:ptCount val="2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numCache>
            </c:numRef>
          </c:xVal>
          <c:yVal>
            <c:numRef>
              <c:f>成長曲線_データ!$O$4:$O$28</c:f>
              <c:numCache>
                <c:formatCode>General</c:formatCode>
                <c:ptCount val="25"/>
                <c:pt idx="0">
                  <c:v>3.0</c:v>
                </c:pt>
                <c:pt idx="1">
                  <c:v>4.1</c:v>
                </c:pt>
                <c:pt idx="2">
                  <c:v>5.2</c:v>
                </c:pt>
                <c:pt idx="3">
                  <c:v>6.0</c:v>
                </c:pt>
                <c:pt idx="4">
                  <c:v>6.6</c:v>
                </c:pt>
                <c:pt idx="5">
                  <c:v>7.0</c:v>
                </c:pt>
                <c:pt idx="6">
                  <c:v>7.5</c:v>
                </c:pt>
                <c:pt idx="7">
                  <c:v>7.8</c:v>
                </c:pt>
                <c:pt idx="8">
                  <c:v>8.0</c:v>
                </c:pt>
                <c:pt idx="9">
                  <c:v>8.2</c:v>
                </c:pt>
                <c:pt idx="10">
                  <c:v>8.5</c:v>
                </c:pt>
                <c:pt idx="11">
                  <c:v>8.6</c:v>
                </c:pt>
                <c:pt idx="12">
                  <c:v>8.7</c:v>
                </c:pt>
                <c:pt idx="13">
                  <c:v>9.0</c:v>
                </c:pt>
                <c:pt idx="14">
                  <c:v>9.2</c:v>
                </c:pt>
                <c:pt idx="15">
                  <c:v>9.3</c:v>
                </c:pt>
                <c:pt idx="16">
                  <c:v>9.5</c:v>
                </c:pt>
                <c:pt idx="17">
                  <c:v>9.7</c:v>
                </c:pt>
                <c:pt idx="18">
                  <c:v>9.9</c:v>
                </c:pt>
                <c:pt idx="19">
                  <c:v>10.2</c:v>
                </c:pt>
                <c:pt idx="20">
                  <c:v>10.4</c:v>
                </c:pt>
                <c:pt idx="21">
                  <c:v>10.4</c:v>
                </c:pt>
                <c:pt idx="22">
                  <c:v>10.7</c:v>
                </c:pt>
                <c:pt idx="23">
                  <c:v>11.0</c:v>
                </c:pt>
                <c:pt idx="24">
                  <c:v>11.0</c:v>
                </c:pt>
              </c:numCache>
            </c:numRef>
          </c:yVal>
          <c:smooth val="0"/>
        </c:ser>
        <c:ser>
          <c:idx val="8"/>
          <c:order val="8"/>
          <c:tx>
            <c:strRef>
              <c:f>成長曲線_データ!$Q$2</c:f>
              <c:strCache>
                <c:ptCount val="1"/>
                <c:pt idx="0">
                  <c:v>+2SD</c:v>
                </c:pt>
              </c:strCache>
            </c:strRef>
          </c:tx>
          <c:spPr>
            <a:ln w="12700">
              <a:solidFill>
                <a:sysClr val="windowText" lastClr="000000"/>
              </a:solidFill>
            </a:ln>
          </c:spPr>
          <c:marker>
            <c:symbol val="none"/>
          </c:marker>
          <c:xVal>
            <c:numRef>
              <c:f>成長曲線_データ!$C$4:$C$28</c:f>
              <c:numCache>
                <c:formatCode>General</c:formatCode>
                <c:ptCount val="2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numCache>
            </c:numRef>
          </c:xVal>
          <c:yVal>
            <c:numRef>
              <c:f>成長曲線_データ!$Q$4:$Q$28</c:f>
              <c:numCache>
                <c:formatCode>General</c:formatCode>
                <c:ptCount val="25"/>
                <c:pt idx="0">
                  <c:v>3.8</c:v>
                </c:pt>
                <c:pt idx="1">
                  <c:v>5.119999999999999</c:v>
                </c:pt>
                <c:pt idx="2">
                  <c:v>6.4</c:v>
                </c:pt>
                <c:pt idx="3">
                  <c:v>7.32</c:v>
                </c:pt>
                <c:pt idx="4">
                  <c:v>8.1</c:v>
                </c:pt>
                <c:pt idx="5">
                  <c:v>8.66</c:v>
                </c:pt>
                <c:pt idx="6">
                  <c:v>9.08</c:v>
                </c:pt>
                <c:pt idx="7">
                  <c:v>9.4</c:v>
                </c:pt>
                <c:pt idx="8">
                  <c:v>9.76</c:v>
                </c:pt>
                <c:pt idx="9">
                  <c:v>10.0</c:v>
                </c:pt>
                <c:pt idx="10">
                  <c:v>10.24</c:v>
                </c:pt>
                <c:pt idx="11">
                  <c:v>10.42</c:v>
                </c:pt>
                <c:pt idx="12">
                  <c:v>10.62</c:v>
                </c:pt>
                <c:pt idx="13">
                  <c:v>10.8</c:v>
                </c:pt>
                <c:pt idx="14">
                  <c:v>11.08</c:v>
                </c:pt>
                <c:pt idx="15">
                  <c:v>11.22</c:v>
                </c:pt>
                <c:pt idx="16">
                  <c:v>11.36</c:v>
                </c:pt>
                <c:pt idx="17">
                  <c:v>11.68</c:v>
                </c:pt>
                <c:pt idx="18">
                  <c:v>11.96</c:v>
                </c:pt>
                <c:pt idx="19">
                  <c:v>12.34</c:v>
                </c:pt>
                <c:pt idx="20">
                  <c:v>12.56</c:v>
                </c:pt>
                <c:pt idx="21">
                  <c:v>12.48</c:v>
                </c:pt>
                <c:pt idx="22">
                  <c:v>13.08</c:v>
                </c:pt>
                <c:pt idx="23">
                  <c:v>13.46</c:v>
                </c:pt>
                <c:pt idx="24">
                  <c:v>13.24</c:v>
                </c:pt>
              </c:numCache>
            </c:numRef>
          </c:yVal>
          <c:smooth val="0"/>
        </c:ser>
        <c:ser>
          <c:idx val="9"/>
          <c:order val="9"/>
          <c:tx>
            <c:strRef>
              <c:f>成長曲線_データ!$R$2</c:f>
              <c:strCache>
                <c:ptCount val="1"/>
                <c:pt idx="0">
                  <c:v>+1SD</c:v>
                </c:pt>
              </c:strCache>
            </c:strRef>
          </c:tx>
          <c:spPr>
            <a:ln w="12700">
              <a:solidFill>
                <a:schemeClr val="tx1"/>
              </a:solidFill>
            </a:ln>
          </c:spPr>
          <c:marker>
            <c:symbol val="none"/>
          </c:marker>
          <c:xVal>
            <c:numRef>
              <c:f>成長曲線_データ!$C$4:$C$28</c:f>
              <c:numCache>
                <c:formatCode>General</c:formatCode>
                <c:ptCount val="2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numCache>
            </c:numRef>
          </c:xVal>
          <c:yVal>
            <c:numRef>
              <c:f>成長曲線_データ!$R$4:$R$28</c:f>
              <c:numCache>
                <c:formatCode>General</c:formatCode>
                <c:ptCount val="25"/>
                <c:pt idx="0">
                  <c:v>3.4</c:v>
                </c:pt>
                <c:pt idx="1">
                  <c:v>4.609999999999999</c:v>
                </c:pt>
                <c:pt idx="2">
                  <c:v>5.8</c:v>
                </c:pt>
                <c:pt idx="3">
                  <c:v>6.66</c:v>
                </c:pt>
                <c:pt idx="4">
                  <c:v>7.35</c:v>
                </c:pt>
                <c:pt idx="5">
                  <c:v>7.83</c:v>
                </c:pt>
                <c:pt idx="6">
                  <c:v>8.29</c:v>
                </c:pt>
                <c:pt idx="7">
                  <c:v>8.6</c:v>
                </c:pt>
                <c:pt idx="8">
                  <c:v>8.88</c:v>
                </c:pt>
                <c:pt idx="9">
                  <c:v>9.1</c:v>
                </c:pt>
                <c:pt idx="10">
                  <c:v>9.37</c:v>
                </c:pt>
                <c:pt idx="11">
                  <c:v>9.51</c:v>
                </c:pt>
                <c:pt idx="12">
                  <c:v>9.66</c:v>
                </c:pt>
                <c:pt idx="13">
                  <c:v>9.9</c:v>
                </c:pt>
                <c:pt idx="14">
                  <c:v>10.14</c:v>
                </c:pt>
                <c:pt idx="15">
                  <c:v>10.26</c:v>
                </c:pt>
                <c:pt idx="16">
                  <c:v>10.43</c:v>
                </c:pt>
                <c:pt idx="17">
                  <c:v>10.69</c:v>
                </c:pt>
                <c:pt idx="18">
                  <c:v>10.93</c:v>
                </c:pt>
                <c:pt idx="19">
                  <c:v>11.27</c:v>
                </c:pt>
                <c:pt idx="20">
                  <c:v>11.48</c:v>
                </c:pt>
                <c:pt idx="21">
                  <c:v>11.44</c:v>
                </c:pt>
                <c:pt idx="22">
                  <c:v>11.89</c:v>
                </c:pt>
                <c:pt idx="23">
                  <c:v>12.23</c:v>
                </c:pt>
                <c:pt idx="24">
                  <c:v>12.12</c:v>
                </c:pt>
              </c:numCache>
            </c:numRef>
          </c:yVal>
          <c:smooth val="0"/>
        </c:ser>
        <c:ser>
          <c:idx val="10"/>
          <c:order val="10"/>
          <c:tx>
            <c:strRef>
              <c:f>成長曲線_データ!$S$2</c:f>
              <c:strCache>
                <c:ptCount val="1"/>
                <c:pt idx="0">
                  <c:v>-1SD</c:v>
                </c:pt>
              </c:strCache>
            </c:strRef>
          </c:tx>
          <c:spPr>
            <a:ln w="12700">
              <a:solidFill>
                <a:schemeClr val="tx1"/>
              </a:solidFill>
            </a:ln>
          </c:spPr>
          <c:marker>
            <c:symbol val="none"/>
          </c:marker>
          <c:xVal>
            <c:numRef>
              <c:f>成長曲線_データ!$C$4:$C$28</c:f>
              <c:numCache>
                <c:formatCode>General</c:formatCode>
                <c:ptCount val="2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numCache>
            </c:numRef>
          </c:xVal>
          <c:yVal>
            <c:numRef>
              <c:f>成長曲線_データ!$S$4:$S$28</c:f>
              <c:numCache>
                <c:formatCode>General</c:formatCode>
                <c:ptCount val="25"/>
                <c:pt idx="0">
                  <c:v>2.6</c:v>
                </c:pt>
                <c:pt idx="1">
                  <c:v>3.59</c:v>
                </c:pt>
                <c:pt idx="2">
                  <c:v>4.6</c:v>
                </c:pt>
                <c:pt idx="3">
                  <c:v>5.34</c:v>
                </c:pt>
                <c:pt idx="4">
                  <c:v>5.85</c:v>
                </c:pt>
                <c:pt idx="5">
                  <c:v>6.17</c:v>
                </c:pt>
                <c:pt idx="6">
                  <c:v>6.71</c:v>
                </c:pt>
                <c:pt idx="7">
                  <c:v>7.0</c:v>
                </c:pt>
                <c:pt idx="8">
                  <c:v>7.12</c:v>
                </c:pt>
                <c:pt idx="9">
                  <c:v>7.299999999999999</c:v>
                </c:pt>
                <c:pt idx="10">
                  <c:v>7.63</c:v>
                </c:pt>
                <c:pt idx="11">
                  <c:v>7.689999999999999</c:v>
                </c:pt>
                <c:pt idx="12">
                  <c:v>7.74</c:v>
                </c:pt>
                <c:pt idx="13">
                  <c:v>8.1</c:v>
                </c:pt>
                <c:pt idx="14">
                  <c:v>8.26</c:v>
                </c:pt>
                <c:pt idx="15">
                  <c:v>8.34</c:v>
                </c:pt>
                <c:pt idx="16">
                  <c:v>8.57</c:v>
                </c:pt>
                <c:pt idx="17">
                  <c:v>8.71</c:v>
                </c:pt>
                <c:pt idx="18">
                  <c:v>8.87</c:v>
                </c:pt>
                <c:pt idx="19">
                  <c:v>9.129999999999998</c:v>
                </c:pt>
                <c:pt idx="20">
                  <c:v>9.32</c:v>
                </c:pt>
                <c:pt idx="21">
                  <c:v>9.36</c:v>
                </c:pt>
                <c:pt idx="22">
                  <c:v>9.51</c:v>
                </c:pt>
                <c:pt idx="23">
                  <c:v>9.77</c:v>
                </c:pt>
                <c:pt idx="24">
                  <c:v>9.879999999999998</c:v>
                </c:pt>
              </c:numCache>
            </c:numRef>
          </c:yVal>
          <c:smooth val="0"/>
        </c:ser>
        <c:ser>
          <c:idx val="11"/>
          <c:order val="11"/>
          <c:tx>
            <c:strRef>
              <c:f>成長曲線_データ!$T$2</c:f>
              <c:strCache>
                <c:ptCount val="1"/>
                <c:pt idx="0">
                  <c:v>-2SD</c:v>
                </c:pt>
              </c:strCache>
            </c:strRef>
          </c:tx>
          <c:spPr>
            <a:ln w="12700">
              <a:solidFill>
                <a:schemeClr val="tx1"/>
              </a:solidFill>
            </a:ln>
          </c:spPr>
          <c:marker>
            <c:symbol val="none"/>
          </c:marker>
          <c:xVal>
            <c:numRef>
              <c:f>成長曲線_データ!$C$4:$C$28</c:f>
              <c:numCache>
                <c:formatCode>General</c:formatCode>
                <c:ptCount val="25"/>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numCache>
            </c:numRef>
          </c:xVal>
          <c:yVal>
            <c:numRef>
              <c:f>成長曲線_データ!$T$4:$T$28</c:f>
              <c:numCache>
                <c:formatCode>General</c:formatCode>
                <c:ptCount val="25"/>
                <c:pt idx="0">
                  <c:v>2.2</c:v>
                </c:pt>
                <c:pt idx="1">
                  <c:v>3.08</c:v>
                </c:pt>
                <c:pt idx="2">
                  <c:v>4.0</c:v>
                </c:pt>
                <c:pt idx="3">
                  <c:v>4.68</c:v>
                </c:pt>
                <c:pt idx="4">
                  <c:v>5.1</c:v>
                </c:pt>
                <c:pt idx="5">
                  <c:v>5.34</c:v>
                </c:pt>
                <c:pt idx="6">
                  <c:v>5.92</c:v>
                </c:pt>
                <c:pt idx="7">
                  <c:v>6.199999999999999</c:v>
                </c:pt>
                <c:pt idx="8">
                  <c:v>6.24</c:v>
                </c:pt>
                <c:pt idx="9">
                  <c:v>6.399999999999999</c:v>
                </c:pt>
                <c:pt idx="10">
                  <c:v>6.76</c:v>
                </c:pt>
                <c:pt idx="11">
                  <c:v>6.78</c:v>
                </c:pt>
                <c:pt idx="12">
                  <c:v>6.78</c:v>
                </c:pt>
                <c:pt idx="13">
                  <c:v>7.2</c:v>
                </c:pt>
                <c:pt idx="14">
                  <c:v>7.319999999999999</c:v>
                </c:pt>
                <c:pt idx="15">
                  <c:v>7.380000000000001</c:v>
                </c:pt>
                <c:pt idx="16">
                  <c:v>7.64</c:v>
                </c:pt>
                <c:pt idx="17">
                  <c:v>7.719999999999999</c:v>
                </c:pt>
                <c:pt idx="18">
                  <c:v>7.84</c:v>
                </c:pt>
                <c:pt idx="19">
                  <c:v>8.059999999999998</c:v>
                </c:pt>
                <c:pt idx="20">
                  <c:v>8.24</c:v>
                </c:pt>
                <c:pt idx="21">
                  <c:v>8.32</c:v>
                </c:pt>
                <c:pt idx="22">
                  <c:v>8.32</c:v>
                </c:pt>
                <c:pt idx="23">
                  <c:v>8.54</c:v>
                </c:pt>
                <c:pt idx="24">
                  <c:v>8.76</c:v>
                </c:pt>
              </c:numCache>
            </c:numRef>
          </c:yVal>
          <c:smooth val="0"/>
        </c:ser>
        <c:ser>
          <c:idx val="13"/>
          <c:order val="13"/>
          <c:tx>
            <c:strRef>
              <c:f>入力!$V$11</c:f>
              <c:strCache>
                <c:ptCount val="1"/>
                <c:pt idx="0">
                  <c:v> 体重</c:v>
                </c:pt>
              </c:strCache>
            </c:strRef>
          </c:tx>
          <c:spPr>
            <a:ln>
              <a:noFill/>
            </a:ln>
          </c:spPr>
          <c:marker>
            <c:symbol val="square"/>
            <c:size val="7"/>
            <c:spPr>
              <a:solidFill>
                <a:srgbClr val="0033CC"/>
              </a:solidFill>
              <a:ln w="19050">
                <a:solidFill>
                  <a:sysClr val="window" lastClr="FFFFFF"/>
                </a:solidFill>
              </a:ln>
            </c:spPr>
          </c:marker>
          <c:xVal>
            <c:numRef>
              <c:f>入力!$AL$7:$AL$156</c:f>
              <c:numCache>
                <c:formatCode>0.0_ </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入力!$C$7:$C$156</c:f>
              <c:numCache>
                <c:formatCode>General</c:formatCode>
                <c:ptCount val="150"/>
              </c:numCache>
            </c:numRef>
          </c:yVal>
          <c:smooth val="0"/>
        </c:ser>
        <c:dLbls>
          <c:showLegendKey val="0"/>
          <c:showVal val="0"/>
          <c:showCatName val="0"/>
          <c:showSerName val="0"/>
          <c:showPercent val="0"/>
          <c:showBubbleSize val="0"/>
        </c:dLbls>
        <c:axId val="-886384448"/>
        <c:axId val="-885844656"/>
      </c:scatterChart>
      <c:valAx>
        <c:axId val="-885858448"/>
        <c:scaling>
          <c:orientation val="minMax"/>
          <c:max val="12.0"/>
        </c:scaling>
        <c:delete val="0"/>
        <c:axPos val="b"/>
        <c:majorGridlines/>
        <c:title>
          <c:tx>
            <c:rich>
              <a:bodyPr/>
              <a:lstStyle/>
              <a:p>
                <a:pPr>
                  <a:defRPr/>
                </a:pPr>
                <a:r>
                  <a:rPr lang="ja-JP" altLang="en-US"/>
                  <a:t>月齢</a:t>
                </a:r>
                <a:r>
                  <a:rPr lang="en-US" altLang="ja-JP"/>
                  <a:t>(</a:t>
                </a:r>
                <a:r>
                  <a:rPr lang="ja-JP" altLang="en-US"/>
                  <a:t>カ月</a:t>
                </a:r>
                <a:r>
                  <a:rPr lang="en-US" altLang="ja-JP"/>
                  <a:t>)</a:t>
                </a:r>
                <a:endParaRPr lang="ja-JP" altLang="en-US"/>
              </a:p>
            </c:rich>
          </c:tx>
          <c:overlay val="0"/>
        </c:title>
        <c:numFmt formatCode="General" sourceLinked="0"/>
        <c:majorTickMark val="out"/>
        <c:minorTickMark val="none"/>
        <c:tickLblPos val="nextTo"/>
        <c:crossAx val="-885850944"/>
        <c:crosses val="autoZero"/>
        <c:crossBetween val="midCat"/>
        <c:majorUnit val="1.0"/>
        <c:minorUnit val="0.1666"/>
      </c:valAx>
      <c:valAx>
        <c:axId val="-885850944"/>
        <c:scaling>
          <c:orientation val="minMax"/>
          <c:max val="90.0"/>
          <c:min val="30.0"/>
        </c:scaling>
        <c:delete val="0"/>
        <c:axPos val="l"/>
        <c:majorGridlines/>
        <c:minorGridlines/>
        <c:title>
          <c:tx>
            <c:rich>
              <a:bodyPr rot="-5400000" vert="horz"/>
              <a:lstStyle/>
              <a:p>
                <a:pPr>
                  <a:defRPr/>
                </a:pPr>
                <a:r>
                  <a:rPr lang="ja-JP" altLang="en-US"/>
                  <a:t>身長</a:t>
                </a:r>
                <a:r>
                  <a:rPr lang="en-US" altLang="ja-JP"/>
                  <a:t>(cm)</a:t>
                </a:r>
                <a:endParaRPr lang="ja-JP" altLang="en-US"/>
              </a:p>
            </c:rich>
          </c:tx>
          <c:overlay val="0"/>
        </c:title>
        <c:numFmt formatCode="General" sourceLinked="1"/>
        <c:majorTickMark val="out"/>
        <c:minorTickMark val="none"/>
        <c:tickLblPos val="nextTo"/>
        <c:crossAx val="-885858448"/>
        <c:crosses val="autoZero"/>
        <c:crossBetween val="midCat"/>
        <c:majorUnit val="10.0"/>
        <c:minorUnit val="5.0"/>
      </c:valAx>
      <c:valAx>
        <c:axId val="-885844656"/>
        <c:scaling>
          <c:orientation val="minMax"/>
          <c:max val="30.0"/>
          <c:min val="0.0"/>
        </c:scaling>
        <c:delete val="0"/>
        <c:axPos val="r"/>
        <c:title>
          <c:tx>
            <c:rich>
              <a:bodyPr rot="-5400000" vert="horz"/>
              <a:lstStyle/>
              <a:p>
                <a:pPr>
                  <a:defRPr/>
                </a:pPr>
                <a:r>
                  <a:rPr lang="ja-JP" altLang="en-US"/>
                  <a:t>体重</a:t>
                </a:r>
                <a:r>
                  <a:rPr lang="en-US" altLang="ja-JP"/>
                  <a:t>(kg)</a:t>
                </a:r>
                <a:endParaRPr lang="ja-JP" altLang="en-US"/>
              </a:p>
            </c:rich>
          </c:tx>
          <c:layout>
            <c:manualLayout>
              <c:xMode val="edge"/>
              <c:yMode val="edge"/>
              <c:x val="0.944718137254902"/>
              <c:y val="0.406688425925929"/>
            </c:manualLayout>
          </c:layout>
          <c:overlay val="0"/>
        </c:title>
        <c:numFmt formatCode="General" sourceLinked="1"/>
        <c:majorTickMark val="out"/>
        <c:minorTickMark val="none"/>
        <c:tickLblPos val="nextTo"/>
        <c:crossAx val="-886384448"/>
        <c:crosses val="max"/>
        <c:crossBetween val="midCat"/>
        <c:majorUnit val="5.0"/>
      </c:valAx>
      <c:valAx>
        <c:axId val="-886384448"/>
        <c:scaling>
          <c:orientation val="minMax"/>
        </c:scaling>
        <c:delete val="1"/>
        <c:axPos val="b"/>
        <c:numFmt formatCode="General" sourceLinked="1"/>
        <c:majorTickMark val="out"/>
        <c:minorTickMark val="none"/>
        <c:tickLblPos val="none"/>
        <c:crossAx val="-885844656"/>
        <c:crosses val="autoZero"/>
        <c:crossBetween val="midCat"/>
      </c:valAx>
    </c:plotArea>
    <c:legend>
      <c:legendPos val="b"/>
      <c:layout>
        <c:manualLayout>
          <c:xMode val="edge"/>
          <c:yMode val="edge"/>
          <c:x val="0.118688725490196"/>
          <c:y val="0.0713878472222222"/>
          <c:w val="0.241756535947712"/>
          <c:h val="0.321540393518519"/>
        </c:manualLayout>
      </c:layout>
      <c:overlay val="0"/>
      <c:spPr>
        <a:solidFill>
          <a:schemeClr val="bg1"/>
        </a:solidFill>
        <a:ln>
          <a:solidFill>
            <a:schemeClr val="tx1"/>
          </a:solidFill>
        </a:ln>
      </c:spPr>
    </c:legend>
    <c:plotVisOnly val="1"/>
    <c:dispBlanksAs val="span"/>
    <c:showDLblsOverMax val="0"/>
  </c:chart>
  <c:printSettings>
    <c:headerFooter/>
    <c:pageMargins b="0.750000000000009" l="0.700000000000001" r="0.700000000000001" t="0.750000000000009"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入力!$V$5</c:f>
          <c:strCache>
            <c:ptCount val="1"/>
            <c:pt idx="0">
              <c:v>横断的標準身長・体重曲線 児(0-6歳)</c:v>
            </c:pt>
          </c:strCache>
        </c:strRef>
      </c:tx>
      <c:overlay val="1"/>
    </c:title>
    <c:autoTitleDeleted val="0"/>
    <c:plotArea>
      <c:layout>
        <c:manualLayout>
          <c:layoutTarget val="inner"/>
          <c:xMode val="edge"/>
          <c:yMode val="edge"/>
          <c:x val="0.108916666666667"/>
          <c:y val="0.0634071759259259"/>
          <c:w val="0.784989379084966"/>
          <c:h val="0.85685127314816"/>
        </c:manualLayout>
      </c:layout>
      <c:scatterChart>
        <c:scatterStyle val="lineMarker"/>
        <c:varyColors val="0"/>
        <c:ser>
          <c:idx val="0"/>
          <c:order val="0"/>
          <c:tx>
            <c:strRef>
              <c:f>成長曲線_データ!$F$2</c:f>
              <c:strCache>
                <c:ptCount val="1"/>
                <c:pt idx="0">
                  <c:v>平均身長</c:v>
                </c:pt>
              </c:strCache>
            </c:strRef>
          </c:tx>
          <c:spPr>
            <a:ln w="381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成長曲線_データ!$F$4:$F$214</c:f>
              <c:numCache>
                <c:formatCode>General</c:formatCode>
                <c:ptCount val="211"/>
                <c:pt idx="0">
                  <c:v>48.4</c:v>
                </c:pt>
                <c:pt idx="1">
                  <c:v>52.6</c:v>
                </c:pt>
                <c:pt idx="2">
                  <c:v>56.7</c:v>
                </c:pt>
                <c:pt idx="3">
                  <c:v>60.0</c:v>
                </c:pt>
                <c:pt idx="4">
                  <c:v>62.6</c:v>
                </c:pt>
                <c:pt idx="5">
                  <c:v>64.6</c:v>
                </c:pt>
                <c:pt idx="6">
                  <c:v>66.2</c:v>
                </c:pt>
                <c:pt idx="7">
                  <c:v>67.5</c:v>
                </c:pt>
                <c:pt idx="8">
                  <c:v>68.9</c:v>
                </c:pt>
                <c:pt idx="9">
                  <c:v>70.0</c:v>
                </c:pt>
                <c:pt idx="10">
                  <c:v>71.2</c:v>
                </c:pt>
                <c:pt idx="11">
                  <c:v>72.3</c:v>
                </c:pt>
                <c:pt idx="12">
                  <c:v>73.4</c:v>
                </c:pt>
                <c:pt idx="13">
                  <c:v>74.5</c:v>
                </c:pt>
                <c:pt idx="14">
                  <c:v>75.5</c:v>
                </c:pt>
                <c:pt idx="15">
                  <c:v>76.5</c:v>
                </c:pt>
                <c:pt idx="16">
                  <c:v>77.5</c:v>
                </c:pt>
                <c:pt idx="17">
                  <c:v>78.4</c:v>
                </c:pt>
                <c:pt idx="18">
                  <c:v>79.4</c:v>
                </c:pt>
                <c:pt idx="19">
                  <c:v>80.3</c:v>
                </c:pt>
                <c:pt idx="20">
                  <c:v>81.2</c:v>
                </c:pt>
                <c:pt idx="21">
                  <c:v>82.0</c:v>
                </c:pt>
                <c:pt idx="22">
                  <c:v>82.8</c:v>
                </c:pt>
                <c:pt idx="23">
                  <c:v>83.5</c:v>
                </c:pt>
                <c:pt idx="24">
                  <c:v>84.3</c:v>
                </c:pt>
                <c:pt idx="25">
                  <c:v>85.0</c:v>
                </c:pt>
                <c:pt idx="26">
                  <c:v>85.7</c:v>
                </c:pt>
                <c:pt idx="27">
                  <c:v>86.4</c:v>
                </c:pt>
                <c:pt idx="28">
                  <c:v>87.1</c:v>
                </c:pt>
                <c:pt idx="29">
                  <c:v>87.7</c:v>
                </c:pt>
                <c:pt idx="30">
                  <c:v>88.4</c:v>
                </c:pt>
                <c:pt idx="31">
                  <c:v>89.0</c:v>
                </c:pt>
                <c:pt idx="32">
                  <c:v>89.6</c:v>
                </c:pt>
                <c:pt idx="33">
                  <c:v>90.3</c:v>
                </c:pt>
                <c:pt idx="34">
                  <c:v>90.9</c:v>
                </c:pt>
                <c:pt idx="35">
                  <c:v>91.6</c:v>
                </c:pt>
                <c:pt idx="36">
                  <c:v>92.2</c:v>
                </c:pt>
                <c:pt idx="37">
                  <c:v>92.8</c:v>
                </c:pt>
                <c:pt idx="38">
                  <c:v>93.5</c:v>
                </c:pt>
                <c:pt idx="39">
                  <c:v>94.1</c:v>
                </c:pt>
                <c:pt idx="40">
                  <c:v>94.7</c:v>
                </c:pt>
                <c:pt idx="41">
                  <c:v>95.3</c:v>
                </c:pt>
                <c:pt idx="42">
                  <c:v>95.9</c:v>
                </c:pt>
                <c:pt idx="43">
                  <c:v>96.5</c:v>
                </c:pt>
                <c:pt idx="44">
                  <c:v>97.1</c:v>
                </c:pt>
                <c:pt idx="45">
                  <c:v>97.7</c:v>
                </c:pt>
                <c:pt idx="46">
                  <c:v>98.3</c:v>
                </c:pt>
                <c:pt idx="47">
                  <c:v>98.9</c:v>
                </c:pt>
                <c:pt idx="48">
                  <c:v>99.5</c:v>
                </c:pt>
                <c:pt idx="49">
                  <c:v>100.0</c:v>
                </c:pt>
                <c:pt idx="50">
                  <c:v>100.6</c:v>
                </c:pt>
                <c:pt idx="51">
                  <c:v>101.2</c:v>
                </c:pt>
                <c:pt idx="52">
                  <c:v>101.7</c:v>
                </c:pt>
                <c:pt idx="53">
                  <c:v>102.3</c:v>
                </c:pt>
                <c:pt idx="54">
                  <c:v>102.8</c:v>
                </c:pt>
                <c:pt idx="55">
                  <c:v>103.4</c:v>
                </c:pt>
                <c:pt idx="56">
                  <c:v>103.9</c:v>
                </c:pt>
                <c:pt idx="57">
                  <c:v>104.5</c:v>
                </c:pt>
                <c:pt idx="58">
                  <c:v>105.0</c:v>
                </c:pt>
                <c:pt idx="59">
                  <c:v>105.6</c:v>
                </c:pt>
                <c:pt idx="60">
                  <c:v>106.2</c:v>
                </c:pt>
                <c:pt idx="61">
                  <c:v>106.7</c:v>
                </c:pt>
                <c:pt idx="62">
                  <c:v>107.3</c:v>
                </c:pt>
                <c:pt idx="63">
                  <c:v>107.8</c:v>
                </c:pt>
                <c:pt idx="64">
                  <c:v>108.4</c:v>
                </c:pt>
                <c:pt idx="65">
                  <c:v>108.9</c:v>
                </c:pt>
                <c:pt idx="66">
                  <c:v>109.5</c:v>
                </c:pt>
                <c:pt idx="67">
                  <c:v>110.0</c:v>
                </c:pt>
                <c:pt idx="68">
                  <c:v>110.6</c:v>
                </c:pt>
                <c:pt idx="69">
                  <c:v>111.1</c:v>
                </c:pt>
                <c:pt idx="70">
                  <c:v>111.6</c:v>
                </c:pt>
                <c:pt idx="71">
                  <c:v>112.2</c:v>
                </c:pt>
                <c:pt idx="72">
                  <c:v>112.7</c:v>
                </c:pt>
                <c:pt idx="73">
                  <c:v>113.3</c:v>
                </c:pt>
                <c:pt idx="74">
                  <c:v>113.8</c:v>
                </c:pt>
                <c:pt idx="75">
                  <c:v>114.1</c:v>
                </c:pt>
                <c:pt idx="76">
                  <c:v>114.6</c:v>
                </c:pt>
                <c:pt idx="77">
                  <c:v>115.2</c:v>
                </c:pt>
                <c:pt idx="78">
                  <c:v>115.8</c:v>
                </c:pt>
                <c:pt idx="79">
                  <c:v>116.3</c:v>
                </c:pt>
                <c:pt idx="80">
                  <c:v>116.8</c:v>
                </c:pt>
                <c:pt idx="81">
                  <c:v>117.3</c:v>
                </c:pt>
                <c:pt idx="82">
                  <c:v>117.8</c:v>
                </c:pt>
                <c:pt idx="83">
                  <c:v>118.3</c:v>
                </c:pt>
                <c:pt idx="84">
                  <c:v>118.8</c:v>
                </c:pt>
                <c:pt idx="85">
                  <c:v>119.2</c:v>
                </c:pt>
                <c:pt idx="86">
                  <c:v>119.7</c:v>
                </c:pt>
                <c:pt idx="87">
                  <c:v>120.2</c:v>
                </c:pt>
                <c:pt idx="88">
                  <c:v>120.7</c:v>
                </c:pt>
                <c:pt idx="89">
                  <c:v>121.2</c:v>
                </c:pt>
                <c:pt idx="90">
                  <c:v>121.7</c:v>
                </c:pt>
                <c:pt idx="91">
                  <c:v>122.2</c:v>
                </c:pt>
                <c:pt idx="92">
                  <c:v>122.7</c:v>
                </c:pt>
                <c:pt idx="93">
                  <c:v>123.2</c:v>
                </c:pt>
                <c:pt idx="94">
                  <c:v>123.6</c:v>
                </c:pt>
                <c:pt idx="95">
                  <c:v>124.1</c:v>
                </c:pt>
                <c:pt idx="96">
                  <c:v>124.6</c:v>
                </c:pt>
                <c:pt idx="97">
                  <c:v>125.1</c:v>
                </c:pt>
                <c:pt idx="98">
                  <c:v>125.6</c:v>
                </c:pt>
                <c:pt idx="99">
                  <c:v>126.1</c:v>
                </c:pt>
                <c:pt idx="100">
                  <c:v>126.5</c:v>
                </c:pt>
                <c:pt idx="101">
                  <c:v>127.0</c:v>
                </c:pt>
                <c:pt idx="102">
                  <c:v>127.5</c:v>
                </c:pt>
                <c:pt idx="103">
                  <c:v>128.0</c:v>
                </c:pt>
                <c:pt idx="104">
                  <c:v>128.5</c:v>
                </c:pt>
                <c:pt idx="105">
                  <c:v>129.0</c:v>
                </c:pt>
                <c:pt idx="106">
                  <c:v>129.5</c:v>
                </c:pt>
                <c:pt idx="107">
                  <c:v>130.0</c:v>
                </c:pt>
                <c:pt idx="108">
                  <c:v>130.5</c:v>
                </c:pt>
                <c:pt idx="109">
                  <c:v>131.0</c:v>
                </c:pt>
                <c:pt idx="110">
                  <c:v>131.5</c:v>
                </c:pt>
                <c:pt idx="111">
                  <c:v>132.0</c:v>
                </c:pt>
                <c:pt idx="112">
                  <c:v>132.5</c:v>
                </c:pt>
                <c:pt idx="113">
                  <c:v>133.0</c:v>
                </c:pt>
                <c:pt idx="114">
                  <c:v>133.5</c:v>
                </c:pt>
                <c:pt idx="115">
                  <c:v>134.1</c:v>
                </c:pt>
                <c:pt idx="116">
                  <c:v>134.6</c:v>
                </c:pt>
                <c:pt idx="117">
                  <c:v>135.2</c:v>
                </c:pt>
                <c:pt idx="118">
                  <c:v>135.8</c:v>
                </c:pt>
                <c:pt idx="119">
                  <c:v>136.3</c:v>
                </c:pt>
                <c:pt idx="120">
                  <c:v>136.9</c:v>
                </c:pt>
                <c:pt idx="121">
                  <c:v>137.5</c:v>
                </c:pt>
                <c:pt idx="122">
                  <c:v>138.0</c:v>
                </c:pt>
                <c:pt idx="123">
                  <c:v>138.6</c:v>
                </c:pt>
                <c:pt idx="124">
                  <c:v>139.2</c:v>
                </c:pt>
                <c:pt idx="125">
                  <c:v>139.7</c:v>
                </c:pt>
                <c:pt idx="126">
                  <c:v>140.3</c:v>
                </c:pt>
                <c:pt idx="127">
                  <c:v>140.9</c:v>
                </c:pt>
                <c:pt idx="128">
                  <c:v>141.4</c:v>
                </c:pt>
                <c:pt idx="129">
                  <c:v>142.0</c:v>
                </c:pt>
                <c:pt idx="130">
                  <c:v>142.6</c:v>
                </c:pt>
                <c:pt idx="131">
                  <c:v>143.1</c:v>
                </c:pt>
                <c:pt idx="132">
                  <c:v>143.7</c:v>
                </c:pt>
                <c:pt idx="133">
                  <c:v>144.3</c:v>
                </c:pt>
                <c:pt idx="134">
                  <c:v>144.8</c:v>
                </c:pt>
                <c:pt idx="135">
                  <c:v>145.4</c:v>
                </c:pt>
                <c:pt idx="136">
                  <c:v>146.0</c:v>
                </c:pt>
                <c:pt idx="137">
                  <c:v>146.5</c:v>
                </c:pt>
                <c:pt idx="138">
                  <c:v>147.1</c:v>
                </c:pt>
                <c:pt idx="139">
                  <c:v>147.5</c:v>
                </c:pt>
                <c:pt idx="140">
                  <c:v>147.9</c:v>
                </c:pt>
                <c:pt idx="141">
                  <c:v>148.4</c:v>
                </c:pt>
                <c:pt idx="142">
                  <c:v>148.8</c:v>
                </c:pt>
                <c:pt idx="143">
                  <c:v>149.2</c:v>
                </c:pt>
                <c:pt idx="144">
                  <c:v>149.6</c:v>
                </c:pt>
                <c:pt idx="145">
                  <c:v>150.0</c:v>
                </c:pt>
                <c:pt idx="146">
                  <c:v>150.4</c:v>
                </c:pt>
                <c:pt idx="147">
                  <c:v>150.9</c:v>
                </c:pt>
                <c:pt idx="148">
                  <c:v>151.3</c:v>
                </c:pt>
                <c:pt idx="149">
                  <c:v>151.7</c:v>
                </c:pt>
                <c:pt idx="150">
                  <c:v>152.1</c:v>
                </c:pt>
                <c:pt idx="151">
                  <c:v>152.4</c:v>
                </c:pt>
                <c:pt idx="152">
                  <c:v>152.6</c:v>
                </c:pt>
                <c:pt idx="153">
                  <c:v>152.9</c:v>
                </c:pt>
                <c:pt idx="154">
                  <c:v>153.1</c:v>
                </c:pt>
                <c:pt idx="155">
                  <c:v>153.4</c:v>
                </c:pt>
                <c:pt idx="156">
                  <c:v>153.6</c:v>
                </c:pt>
                <c:pt idx="157">
                  <c:v>153.9</c:v>
                </c:pt>
                <c:pt idx="158">
                  <c:v>154.1</c:v>
                </c:pt>
                <c:pt idx="159">
                  <c:v>154.4</c:v>
                </c:pt>
                <c:pt idx="160">
                  <c:v>154.6</c:v>
                </c:pt>
                <c:pt idx="161">
                  <c:v>154.9</c:v>
                </c:pt>
                <c:pt idx="162">
                  <c:v>155.1</c:v>
                </c:pt>
                <c:pt idx="163">
                  <c:v>155.2</c:v>
                </c:pt>
                <c:pt idx="164">
                  <c:v>155.4</c:v>
                </c:pt>
                <c:pt idx="165">
                  <c:v>155.5</c:v>
                </c:pt>
                <c:pt idx="166">
                  <c:v>155.7</c:v>
                </c:pt>
                <c:pt idx="167">
                  <c:v>155.8</c:v>
                </c:pt>
                <c:pt idx="168">
                  <c:v>156.0</c:v>
                </c:pt>
                <c:pt idx="169">
                  <c:v>156.1</c:v>
                </c:pt>
                <c:pt idx="170">
                  <c:v>156.2</c:v>
                </c:pt>
                <c:pt idx="171">
                  <c:v>156.4</c:v>
                </c:pt>
                <c:pt idx="172">
                  <c:v>156.5</c:v>
                </c:pt>
                <c:pt idx="173">
                  <c:v>156.7</c:v>
                </c:pt>
                <c:pt idx="174">
                  <c:v>156.8</c:v>
                </c:pt>
                <c:pt idx="175">
                  <c:v>156.8</c:v>
                </c:pt>
                <c:pt idx="176">
                  <c:v>156.9</c:v>
                </c:pt>
                <c:pt idx="177">
                  <c:v>156.9</c:v>
                </c:pt>
                <c:pt idx="178">
                  <c:v>157.0</c:v>
                </c:pt>
                <c:pt idx="179">
                  <c:v>157.0</c:v>
                </c:pt>
                <c:pt idx="180">
                  <c:v>157.1</c:v>
                </c:pt>
                <c:pt idx="181">
                  <c:v>157.1</c:v>
                </c:pt>
                <c:pt idx="182">
                  <c:v>157.1</c:v>
                </c:pt>
                <c:pt idx="183">
                  <c:v>157.2</c:v>
                </c:pt>
                <c:pt idx="184">
                  <c:v>157.2</c:v>
                </c:pt>
                <c:pt idx="185">
                  <c:v>157.3</c:v>
                </c:pt>
                <c:pt idx="186">
                  <c:v>157.3</c:v>
                </c:pt>
                <c:pt idx="187">
                  <c:v>157.3</c:v>
                </c:pt>
                <c:pt idx="188">
                  <c:v>157.4</c:v>
                </c:pt>
                <c:pt idx="189">
                  <c:v>157.4</c:v>
                </c:pt>
                <c:pt idx="190">
                  <c:v>157.4</c:v>
                </c:pt>
                <c:pt idx="191">
                  <c:v>157.5</c:v>
                </c:pt>
                <c:pt idx="192">
                  <c:v>157.5</c:v>
                </c:pt>
                <c:pt idx="193">
                  <c:v>157.5</c:v>
                </c:pt>
                <c:pt idx="194">
                  <c:v>157.6</c:v>
                </c:pt>
                <c:pt idx="195">
                  <c:v>157.6</c:v>
                </c:pt>
                <c:pt idx="196">
                  <c:v>157.6</c:v>
                </c:pt>
                <c:pt idx="197">
                  <c:v>157.7</c:v>
                </c:pt>
                <c:pt idx="198">
                  <c:v>157.7</c:v>
                </c:pt>
                <c:pt idx="199">
                  <c:v>157.7</c:v>
                </c:pt>
                <c:pt idx="200">
                  <c:v>157.8</c:v>
                </c:pt>
                <c:pt idx="201">
                  <c:v>157.8</c:v>
                </c:pt>
                <c:pt idx="202">
                  <c:v>157.8</c:v>
                </c:pt>
                <c:pt idx="203">
                  <c:v>157.9</c:v>
                </c:pt>
                <c:pt idx="204">
                  <c:v>157.9</c:v>
                </c:pt>
                <c:pt idx="205">
                  <c:v>157.9</c:v>
                </c:pt>
                <c:pt idx="206">
                  <c:v>158.0</c:v>
                </c:pt>
                <c:pt idx="207">
                  <c:v>158.0</c:v>
                </c:pt>
                <c:pt idx="208">
                  <c:v>158.0</c:v>
                </c:pt>
                <c:pt idx="209">
                  <c:v>158.1</c:v>
                </c:pt>
                <c:pt idx="210">
                  <c:v>158.1</c:v>
                </c:pt>
              </c:numCache>
            </c:numRef>
          </c:yVal>
          <c:smooth val="0"/>
        </c:ser>
        <c:ser>
          <c:idx val="1"/>
          <c:order val="1"/>
          <c:tx>
            <c:strRef>
              <c:f>成長曲線_データ!$H$2</c:f>
              <c:strCache>
                <c:ptCount val="1"/>
                <c:pt idx="0">
                  <c:v>+2SD</c:v>
                </c:pt>
              </c:strCache>
            </c:strRef>
          </c:tx>
          <c:spPr>
            <a:ln w="127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成長曲線_データ!$H$4:$H$214</c:f>
              <c:numCache>
                <c:formatCode>General</c:formatCode>
                <c:ptCount val="211"/>
                <c:pt idx="0">
                  <c:v>52.6</c:v>
                </c:pt>
                <c:pt idx="1">
                  <c:v>56.8</c:v>
                </c:pt>
                <c:pt idx="2">
                  <c:v>61.1</c:v>
                </c:pt>
                <c:pt idx="3">
                  <c:v>64.4</c:v>
                </c:pt>
                <c:pt idx="4">
                  <c:v>67.0</c:v>
                </c:pt>
                <c:pt idx="5">
                  <c:v>69.19999999999998</c:v>
                </c:pt>
                <c:pt idx="6">
                  <c:v>70.8</c:v>
                </c:pt>
                <c:pt idx="7">
                  <c:v>72.1</c:v>
                </c:pt>
                <c:pt idx="8">
                  <c:v>73.7</c:v>
                </c:pt>
                <c:pt idx="9">
                  <c:v>74.8</c:v>
                </c:pt>
                <c:pt idx="10">
                  <c:v>76.0</c:v>
                </c:pt>
                <c:pt idx="11">
                  <c:v>77.3</c:v>
                </c:pt>
                <c:pt idx="12">
                  <c:v>78.4</c:v>
                </c:pt>
                <c:pt idx="13">
                  <c:v>79.5</c:v>
                </c:pt>
                <c:pt idx="14">
                  <c:v>80.7</c:v>
                </c:pt>
                <c:pt idx="15">
                  <c:v>81.7</c:v>
                </c:pt>
                <c:pt idx="16">
                  <c:v>82.7</c:v>
                </c:pt>
                <c:pt idx="17">
                  <c:v>83.80000000000001</c:v>
                </c:pt>
                <c:pt idx="18">
                  <c:v>84.80000000000001</c:v>
                </c:pt>
                <c:pt idx="19">
                  <c:v>85.9</c:v>
                </c:pt>
                <c:pt idx="20">
                  <c:v>86.8</c:v>
                </c:pt>
                <c:pt idx="21">
                  <c:v>87.6</c:v>
                </c:pt>
                <c:pt idx="22">
                  <c:v>88.6</c:v>
                </c:pt>
                <c:pt idx="23">
                  <c:v>89.3</c:v>
                </c:pt>
                <c:pt idx="24">
                  <c:v>90.1</c:v>
                </c:pt>
                <c:pt idx="25">
                  <c:v>91.0</c:v>
                </c:pt>
                <c:pt idx="26">
                  <c:v>91.7</c:v>
                </c:pt>
                <c:pt idx="27">
                  <c:v>92.4</c:v>
                </c:pt>
                <c:pt idx="28">
                  <c:v>93.3</c:v>
                </c:pt>
                <c:pt idx="29">
                  <c:v>93.9</c:v>
                </c:pt>
                <c:pt idx="30">
                  <c:v>94.60000000000001</c:v>
                </c:pt>
                <c:pt idx="31">
                  <c:v>95.4</c:v>
                </c:pt>
                <c:pt idx="32">
                  <c:v>96.0</c:v>
                </c:pt>
                <c:pt idx="33">
                  <c:v>96.9</c:v>
                </c:pt>
                <c:pt idx="34">
                  <c:v>97.5</c:v>
                </c:pt>
                <c:pt idx="35">
                  <c:v>98.19999999999998</c:v>
                </c:pt>
                <c:pt idx="36">
                  <c:v>99.0</c:v>
                </c:pt>
                <c:pt idx="37">
                  <c:v>99.6</c:v>
                </c:pt>
                <c:pt idx="38">
                  <c:v>100.3</c:v>
                </c:pt>
                <c:pt idx="39">
                  <c:v>101.1</c:v>
                </c:pt>
                <c:pt idx="40">
                  <c:v>101.7</c:v>
                </c:pt>
                <c:pt idx="41">
                  <c:v>102.3</c:v>
                </c:pt>
                <c:pt idx="42">
                  <c:v>103.1</c:v>
                </c:pt>
                <c:pt idx="43">
                  <c:v>103.7</c:v>
                </c:pt>
                <c:pt idx="44">
                  <c:v>104.3</c:v>
                </c:pt>
                <c:pt idx="45">
                  <c:v>105.1</c:v>
                </c:pt>
                <c:pt idx="46">
                  <c:v>105.7</c:v>
                </c:pt>
                <c:pt idx="47">
                  <c:v>106.5</c:v>
                </c:pt>
                <c:pt idx="48">
                  <c:v>107.1</c:v>
                </c:pt>
                <c:pt idx="49">
                  <c:v>107.6</c:v>
                </c:pt>
                <c:pt idx="50">
                  <c:v>108.4</c:v>
                </c:pt>
                <c:pt idx="51">
                  <c:v>109.0</c:v>
                </c:pt>
                <c:pt idx="52">
                  <c:v>109.5</c:v>
                </c:pt>
                <c:pt idx="53">
                  <c:v>110.3</c:v>
                </c:pt>
                <c:pt idx="54">
                  <c:v>110.8</c:v>
                </c:pt>
                <c:pt idx="55">
                  <c:v>111.4</c:v>
                </c:pt>
                <c:pt idx="56">
                  <c:v>112.1</c:v>
                </c:pt>
                <c:pt idx="57">
                  <c:v>112.7</c:v>
                </c:pt>
                <c:pt idx="58">
                  <c:v>113.2</c:v>
                </c:pt>
                <c:pt idx="59">
                  <c:v>114.0</c:v>
                </c:pt>
                <c:pt idx="60">
                  <c:v>114.6</c:v>
                </c:pt>
                <c:pt idx="61">
                  <c:v>115.3</c:v>
                </c:pt>
                <c:pt idx="62">
                  <c:v>115.9</c:v>
                </c:pt>
                <c:pt idx="63">
                  <c:v>116.4</c:v>
                </c:pt>
                <c:pt idx="64">
                  <c:v>117.2</c:v>
                </c:pt>
                <c:pt idx="65">
                  <c:v>117.7</c:v>
                </c:pt>
                <c:pt idx="66">
                  <c:v>118.3</c:v>
                </c:pt>
                <c:pt idx="67">
                  <c:v>119.0</c:v>
                </c:pt>
                <c:pt idx="68">
                  <c:v>119.6</c:v>
                </c:pt>
                <c:pt idx="69">
                  <c:v>120.1</c:v>
                </c:pt>
                <c:pt idx="70">
                  <c:v>120.8</c:v>
                </c:pt>
                <c:pt idx="71">
                  <c:v>121.4</c:v>
                </c:pt>
                <c:pt idx="72">
                  <c:v>121.9</c:v>
                </c:pt>
                <c:pt idx="73">
                  <c:v>122.7</c:v>
                </c:pt>
                <c:pt idx="74">
                  <c:v>123.2</c:v>
                </c:pt>
                <c:pt idx="75">
                  <c:v>123.3</c:v>
                </c:pt>
                <c:pt idx="76">
                  <c:v>124.0</c:v>
                </c:pt>
                <c:pt idx="77">
                  <c:v>124.8</c:v>
                </c:pt>
                <c:pt idx="78">
                  <c:v>125.6</c:v>
                </c:pt>
                <c:pt idx="79">
                  <c:v>126.1</c:v>
                </c:pt>
                <c:pt idx="80">
                  <c:v>126.6</c:v>
                </c:pt>
                <c:pt idx="81">
                  <c:v>127.1</c:v>
                </c:pt>
                <c:pt idx="82">
                  <c:v>127.8</c:v>
                </c:pt>
                <c:pt idx="83">
                  <c:v>128.3</c:v>
                </c:pt>
                <c:pt idx="84">
                  <c:v>128.8</c:v>
                </c:pt>
                <c:pt idx="85">
                  <c:v>129.2</c:v>
                </c:pt>
                <c:pt idx="86">
                  <c:v>129.7</c:v>
                </c:pt>
                <c:pt idx="87">
                  <c:v>130.4</c:v>
                </c:pt>
                <c:pt idx="88">
                  <c:v>130.9</c:v>
                </c:pt>
                <c:pt idx="89">
                  <c:v>131.4</c:v>
                </c:pt>
                <c:pt idx="90">
                  <c:v>131.9</c:v>
                </c:pt>
                <c:pt idx="91">
                  <c:v>132.6</c:v>
                </c:pt>
                <c:pt idx="92">
                  <c:v>133.1</c:v>
                </c:pt>
                <c:pt idx="93">
                  <c:v>133.6</c:v>
                </c:pt>
                <c:pt idx="94">
                  <c:v>134.2</c:v>
                </c:pt>
                <c:pt idx="95">
                  <c:v>134.7</c:v>
                </c:pt>
                <c:pt idx="96">
                  <c:v>135.4</c:v>
                </c:pt>
                <c:pt idx="97">
                  <c:v>135.9</c:v>
                </c:pt>
                <c:pt idx="98">
                  <c:v>136.4</c:v>
                </c:pt>
                <c:pt idx="99">
                  <c:v>137.1</c:v>
                </c:pt>
                <c:pt idx="100">
                  <c:v>137.5</c:v>
                </c:pt>
                <c:pt idx="101">
                  <c:v>138.0</c:v>
                </c:pt>
                <c:pt idx="102">
                  <c:v>138.7</c:v>
                </c:pt>
                <c:pt idx="103">
                  <c:v>139.2</c:v>
                </c:pt>
                <c:pt idx="104">
                  <c:v>139.9</c:v>
                </c:pt>
                <c:pt idx="105">
                  <c:v>140.4</c:v>
                </c:pt>
                <c:pt idx="106">
                  <c:v>141.1</c:v>
                </c:pt>
                <c:pt idx="107">
                  <c:v>141.6</c:v>
                </c:pt>
                <c:pt idx="108">
                  <c:v>142.3</c:v>
                </c:pt>
                <c:pt idx="109">
                  <c:v>142.8</c:v>
                </c:pt>
                <c:pt idx="110">
                  <c:v>143.5</c:v>
                </c:pt>
                <c:pt idx="111">
                  <c:v>144.0</c:v>
                </c:pt>
                <c:pt idx="112">
                  <c:v>144.7</c:v>
                </c:pt>
                <c:pt idx="113">
                  <c:v>145.2</c:v>
                </c:pt>
                <c:pt idx="114">
                  <c:v>145.9</c:v>
                </c:pt>
                <c:pt idx="115">
                  <c:v>146.5</c:v>
                </c:pt>
                <c:pt idx="116">
                  <c:v>147.2</c:v>
                </c:pt>
                <c:pt idx="117">
                  <c:v>147.8</c:v>
                </c:pt>
                <c:pt idx="118">
                  <c:v>148.6</c:v>
                </c:pt>
                <c:pt idx="119">
                  <c:v>149.1</c:v>
                </c:pt>
                <c:pt idx="120">
                  <c:v>149.9</c:v>
                </c:pt>
                <c:pt idx="121">
                  <c:v>150.5</c:v>
                </c:pt>
                <c:pt idx="122">
                  <c:v>151.2</c:v>
                </c:pt>
                <c:pt idx="123">
                  <c:v>151.8</c:v>
                </c:pt>
                <c:pt idx="124">
                  <c:v>152.6</c:v>
                </c:pt>
                <c:pt idx="125">
                  <c:v>153.1</c:v>
                </c:pt>
                <c:pt idx="126">
                  <c:v>153.9</c:v>
                </c:pt>
                <c:pt idx="127">
                  <c:v>154.5</c:v>
                </c:pt>
                <c:pt idx="128">
                  <c:v>155.0</c:v>
                </c:pt>
                <c:pt idx="129">
                  <c:v>155.6</c:v>
                </c:pt>
                <c:pt idx="130">
                  <c:v>156.2</c:v>
                </c:pt>
                <c:pt idx="131">
                  <c:v>156.5</c:v>
                </c:pt>
                <c:pt idx="132">
                  <c:v>157.1</c:v>
                </c:pt>
                <c:pt idx="133">
                  <c:v>157.7</c:v>
                </c:pt>
                <c:pt idx="134">
                  <c:v>158.2</c:v>
                </c:pt>
                <c:pt idx="135">
                  <c:v>158.8</c:v>
                </c:pt>
                <c:pt idx="136">
                  <c:v>159.4</c:v>
                </c:pt>
                <c:pt idx="137">
                  <c:v>159.9</c:v>
                </c:pt>
                <c:pt idx="138">
                  <c:v>160.5</c:v>
                </c:pt>
                <c:pt idx="139">
                  <c:v>160.7</c:v>
                </c:pt>
                <c:pt idx="140">
                  <c:v>160.9</c:v>
                </c:pt>
                <c:pt idx="141">
                  <c:v>161.4</c:v>
                </c:pt>
                <c:pt idx="142">
                  <c:v>161.6</c:v>
                </c:pt>
                <c:pt idx="143">
                  <c:v>162.0</c:v>
                </c:pt>
                <c:pt idx="144">
                  <c:v>162.2</c:v>
                </c:pt>
                <c:pt idx="145">
                  <c:v>162.4</c:v>
                </c:pt>
                <c:pt idx="146">
                  <c:v>162.8</c:v>
                </c:pt>
                <c:pt idx="147">
                  <c:v>163.1</c:v>
                </c:pt>
                <c:pt idx="148">
                  <c:v>163.5</c:v>
                </c:pt>
                <c:pt idx="149">
                  <c:v>163.7</c:v>
                </c:pt>
                <c:pt idx="150">
                  <c:v>163.9</c:v>
                </c:pt>
                <c:pt idx="151">
                  <c:v>164.2</c:v>
                </c:pt>
                <c:pt idx="152">
                  <c:v>164.2</c:v>
                </c:pt>
                <c:pt idx="153">
                  <c:v>164.5</c:v>
                </c:pt>
                <c:pt idx="154">
                  <c:v>164.7</c:v>
                </c:pt>
                <c:pt idx="155">
                  <c:v>164.8</c:v>
                </c:pt>
                <c:pt idx="156">
                  <c:v>165.0</c:v>
                </c:pt>
                <c:pt idx="157">
                  <c:v>165.1</c:v>
                </c:pt>
                <c:pt idx="158">
                  <c:v>165.3</c:v>
                </c:pt>
                <c:pt idx="159">
                  <c:v>165.4</c:v>
                </c:pt>
                <c:pt idx="160">
                  <c:v>165.6</c:v>
                </c:pt>
                <c:pt idx="161">
                  <c:v>165.7</c:v>
                </c:pt>
                <c:pt idx="162">
                  <c:v>165.9</c:v>
                </c:pt>
                <c:pt idx="163">
                  <c:v>166.0</c:v>
                </c:pt>
                <c:pt idx="164">
                  <c:v>166.2</c:v>
                </c:pt>
                <c:pt idx="165">
                  <c:v>166.3</c:v>
                </c:pt>
                <c:pt idx="166">
                  <c:v>166.5</c:v>
                </c:pt>
                <c:pt idx="167">
                  <c:v>166.6</c:v>
                </c:pt>
                <c:pt idx="168">
                  <c:v>166.8</c:v>
                </c:pt>
                <c:pt idx="169">
                  <c:v>166.7</c:v>
                </c:pt>
                <c:pt idx="170">
                  <c:v>166.8</c:v>
                </c:pt>
                <c:pt idx="171">
                  <c:v>167.0</c:v>
                </c:pt>
                <c:pt idx="172">
                  <c:v>167.1</c:v>
                </c:pt>
                <c:pt idx="173">
                  <c:v>167.3</c:v>
                </c:pt>
                <c:pt idx="174">
                  <c:v>167.4</c:v>
                </c:pt>
                <c:pt idx="175">
                  <c:v>167.4</c:v>
                </c:pt>
                <c:pt idx="176">
                  <c:v>167.5</c:v>
                </c:pt>
                <c:pt idx="177">
                  <c:v>167.5</c:v>
                </c:pt>
                <c:pt idx="178">
                  <c:v>167.6</c:v>
                </c:pt>
                <c:pt idx="179">
                  <c:v>167.6</c:v>
                </c:pt>
                <c:pt idx="180">
                  <c:v>167.7</c:v>
                </c:pt>
                <c:pt idx="181">
                  <c:v>167.7</c:v>
                </c:pt>
                <c:pt idx="182">
                  <c:v>167.5</c:v>
                </c:pt>
                <c:pt idx="183">
                  <c:v>167.6</c:v>
                </c:pt>
                <c:pt idx="184">
                  <c:v>167.6</c:v>
                </c:pt>
                <c:pt idx="185">
                  <c:v>167.7</c:v>
                </c:pt>
                <c:pt idx="186">
                  <c:v>167.7</c:v>
                </c:pt>
                <c:pt idx="187">
                  <c:v>167.7</c:v>
                </c:pt>
                <c:pt idx="188">
                  <c:v>167.8</c:v>
                </c:pt>
                <c:pt idx="189">
                  <c:v>167.8</c:v>
                </c:pt>
                <c:pt idx="190">
                  <c:v>167.8</c:v>
                </c:pt>
                <c:pt idx="191">
                  <c:v>167.9</c:v>
                </c:pt>
                <c:pt idx="192">
                  <c:v>167.9</c:v>
                </c:pt>
                <c:pt idx="193">
                  <c:v>167.9</c:v>
                </c:pt>
                <c:pt idx="194">
                  <c:v>168.0</c:v>
                </c:pt>
                <c:pt idx="195">
                  <c:v>168.0</c:v>
                </c:pt>
                <c:pt idx="196">
                  <c:v>168.0</c:v>
                </c:pt>
                <c:pt idx="197">
                  <c:v>168.1</c:v>
                </c:pt>
                <c:pt idx="198">
                  <c:v>168.1</c:v>
                </c:pt>
                <c:pt idx="199">
                  <c:v>168.1</c:v>
                </c:pt>
                <c:pt idx="200">
                  <c:v>168.2</c:v>
                </c:pt>
                <c:pt idx="201">
                  <c:v>168.2</c:v>
                </c:pt>
                <c:pt idx="202">
                  <c:v>168.2</c:v>
                </c:pt>
                <c:pt idx="203">
                  <c:v>168.3</c:v>
                </c:pt>
                <c:pt idx="204">
                  <c:v>168.3</c:v>
                </c:pt>
                <c:pt idx="205">
                  <c:v>168.3</c:v>
                </c:pt>
                <c:pt idx="206">
                  <c:v>168.4</c:v>
                </c:pt>
                <c:pt idx="207">
                  <c:v>168.4</c:v>
                </c:pt>
                <c:pt idx="208">
                  <c:v>168.4</c:v>
                </c:pt>
                <c:pt idx="209">
                  <c:v>168.5</c:v>
                </c:pt>
                <c:pt idx="210">
                  <c:v>168.7</c:v>
                </c:pt>
              </c:numCache>
            </c:numRef>
          </c:yVal>
          <c:smooth val="0"/>
        </c:ser>
        <c:ser>
          <c:idx val="2"/>
          <c:order val="2"/>
          <c:tx>
            <c:strRef>
              <c:f>成長曲線_データ!$I$2</c:f>
              <c:strCache>
                <c:ptCount val="1"/>
                <c:pt idx="0">
                  <c:v>+1SD</c:v>
                </c:pt>
              </c:strCache>
            </c:strRef>
          </c:tx>
          <c:spPr>
            <a:ln w="12700">
              <a:solidFill>
                <a:sysClr val="windowText" lastClr="000000"/>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成長曲線_データ!$I$4:$I$214</c:f>
              <c:numCache>
                <c:formatCode>General</c:formatCode>
                <c:ptCount val="211"/>
                <c:pt idx="0">
                  <c:v>50.5</c:v>
                </c:pt>
                <c:pt idx="1">
                  <c:v>54.7</c:v>
                </c:pt>
                <c:pt idx="2">
                  <c:v>58.90000000000001</c:v>
                </c:pt>
                <c:pt idx="3">
                  <c:v>62.2</c:v>
                </c:pt>
                <c:pt idx="4">
                  <c:v>64.8</c:v>
                </c:pt>
                <c:pt idx="5">
                  <c:v>66.9</c:v>
                </c:pt>
                <c:pt idx="6">
                  <c:v>68.5</c:v>
                </c:pt>
                <c:pt idx="7">
                  <c:v>69.8</c:v>
                </c:pt>
                <c:pt idx="8">
                  <c:v>71.30000000000001</c:v>
                </c:pt>
                <c:pt idx="9">
                  <c:v>72.4</c:v>
                </c:pt>
                <c:pt idx="10">
                  <c:v>73.60000000000001</c:v>
                </c:pt>
                <c:pt idx="11">
                  <c:v>74.8</c:v>
                </c:pt>
                <c:pt idx="12">
                  <c:v>75.9</c:v>
                </c:pt>
                <c:pt idx="13">
                  <c:v>77.0</c:v>
                </c:pt>
                <c:pt idx="14">
                  <c:v>78.1</c:v>
                </c:pt>
                <c:pt idx="15">
                  <c:v>79.1</c:v>
                </c:pt>
                <c:pt idx="16">
                  <c:v>80.1</c:v>
                </c:pt>
                <c:pt idx="17">
                  <c:v>81.10000000000001</c:v>
                </c:pt>
                <c:pt idx="18">
                  <c:v>82.10000000000001</c:v>
                </c:pt>
                <c:pt idx="19">
                  <c:v>83.1</c:v>
                </c:pt>
                <c:pt idx="20">
                  <c:v>84.0</c:v>
                </c:pt>
                <c:pt idx="21">
                  <c:v>84.8</c:v>
                </c:pt>
                <c:pt idx="22">
                  <c:v>85.7</c:v>
                </c:pt>
                <c:pt idx="23">
                  <c:v>86.4</c:v>
                </c:pt>
                <c:pt idx="24">
                  <c:v>87.2</c:v>
                </c:pt>
                <c:pt idx="25">
                  <c:v>88.0</c:v>
                </c:pt>
                <c:pt idx="26">
                  <c:v>88.7</c:v>
                </c:pt>
                <c:pt idx="27">
                  <c:v>89.4</c:v>
                </c:pt>
                <c:pt idx="28">
                  <c:v>90.19999999999998</c:v>
                </c:pt>
                <c:pt idx="29">
                  <c:v>90.8</c:v>
                </c:pt>
                <c:pt idx="30">
                  <c:v>91.5</c:v>
                </c:pt>
                <c:pt idx="31">
                  <c:v>92.2</c:v>
                </c:pt>
                <c:pt idx="32">
                  <c:v>92.8</c:v>
                </c:pt>
                <c:pt idx="33">
                  <c:v>93.6</c:v>
                </c:pt>
                <c:pt idx="34">
                  <c:v>94.2</c:v>
                </c:pt>
                <c:pt idx="35">
                  <c:v>94.9</c:v>
                </c:pt>
                <c:pt idx="36">
                  <c:v>95.60000000000001</c:v>
                </c:pt>
                <c:pt idx="37">
                  <c:v>96.2</c:v>
                </c:pt>
                <c:pt idx="38">
                  <c:v>96.9</c:v>
                </c:pt>
                <c:pt idx="39">
                  <c:v>97.6</c:v>
                </c:pt>
                <c:pt idx="40">
                  <c:v>98.2</c:v>
                </c:pt>
                <c:pt idx="41">
                  <c:v>98.8</c:v>
                </c:pt>
                <c:pt idx="42">
                  <c:v>99.5</c:v>
                </c:pt>
                <c:pt idx="43">
                  <c:v>100.1</c:v>
                </c:pt>
                <c:pt idx="44">
                  <c:v>100.7</c:v>
                </c:pt>
                <c:pt idx="45">
                  <c:v>101.4</c:v>
                </c:pt>
                <c:pt idx="46">
                  <c:v>102.0</c:v>
                </c:pt>
                <c:pt idx="47">
                  <c:v>102.7</c:v>
                </c:pt>
                <c:pt idx="48">
                  <c:v>103.3</c:v>
                </c:pt>
                <c:pt idx="49">
                  <c:v>103.8</c:v>
                </c:pt>
                <c:pt idx="50">
                  <c:v>104.5</c:v>
                </c:pt>
                <c:pt idx="51">
                  <c:v>105.1</c:v>
                </c:pt>
                <c:pt idx="52">
                  <c:v>105.6</c:v>
                </c:pt>
                <c:pt idx="53">
                  <c:v>106.3</c:v>
                </c:pt>
                <c:pt idx="54">
                  <c:v>106.8</c:v>
                </c:pt>
                <c:pt idx="55">
                  <c:v>107.4</c:v>
                </c:pt>
                <c:pt idx="56">
                  <c:v>108.0</c:v>
                </c:pt>
                <c:pt idx="57">
                  <c:v>108.6</c:v>
                </c:pt>
                <c:pt idx="58">
                  <c:v>109.1</c:v>
                </c:pt>
                <c:pt idx="59">
                  <c:v>109.8</c:v>
                </c:pt>
                <c:pt idx="60">
                  <c:v>110.4</c:v>
                </c:pt>
                <c:pt idx="61">
                  <c:v>111.0</c:v>
                </c:pt>
                <c:pt idx="62">
                  <c:v>111.6</c:v>
                </c:pt>
                <c:pt idx="63">
                  <c:v>112.1</c:v>
                </c:pt>
                <c:pt idx="64">
                  <c:v>112.8</c:v>
                </c:pt>
                <c:pt idx="65">
                  <c:v>113.3</c:v>
                </c:pt>
                <c:pt idx="66">
                  <c:v>113.9</c:v>
                </c:pt>
                <c:pt idx="67">
                  <c:v>114.5</c:v>
                </c:pt>
                <c:pt idx="68">
                  <c:v>115.1</c:v>
                </c:pt>
                <c:pt idx="69">
                  <c:v>115.6</c:v>
                </c:pt>
                <c:pt idx="70">
                  <c:v>116.2</c:v>
                </c:pt>
                <c:pt idx="71">
                  <c:v>116.8</c:v>
                </c:pt>
                <c:pt idx="72">
                  <c:v>117.3</c:v>
                </c:pt>
                <c:pt idx="73">
                  <c:v>118.0</c:v>
                </c:pt>
                <c:pt idx="74">
                  <c:v>118.5</c:v>
                </c:pt>
                <c:pt idx="75">
                  <c:v>118.7</c:v>
                </c:pt>
                <c:pt idx="76">
                  <c:v>119.3</c:v>
                </c:pt>
                <c:pt idx="77">
                  <c:v>120.0</c:v>
                </c:pt>
                <c:pt idx="78">
                  <c:v>120.7</c:v>
                </c:pt>
                <c:pt idx="79">
                  <c:v>121.2</c:v>
                </c:pt>
                <c:pt idx="80">
                  <c:v>121.7</c:v>
                </c:pt>
                <c:pt idx="81">
                  <c:v>122.2</c:v>
                </c:pt>
                <c:pt idx="82">
                  <c:v>122.8</c:v>
                </c:pt>
                <c:pt idx="83">
                  <c:v>123.3</c:v>
                </c:pt>
                <c:pt idx="84">
                  <c:v>123.8</c:v>
                </c:pt>
                <c:pt idx="85">
                  <c:v>124.2</c:v>
                </c:pt>
                <c:pt idx="86">
                  <c:v>124.7</c:v>
                </c:pt>
                <c:pt idx="87">
                  <c:v>125.3</c:v>
                </c:pt>
                <c:pt idx="88">
                  <c:v>125.8</c:v>
                </c:pt>
                <c:pt idx="89">
                  <c:v>126.3</c:v>
                </c:pt>
                <c:pt idx="90">
                  <c:v>126.8</c:v>
                </c:pt>
                <c:pt idx="91">
                  <c:v>127.4</c:v>
                </c:pt>
                <c:pt idx="92">
                  <c:v>127.9</c:v>
                </c:pt>
                <c:pt idx="93">
                  <c:v>128.4</c:v>
                </c:pt>
                <c:pt idx="94">
                  <c:v>128.9</c:v>
                </c:pt>
                <c:pt idx="95">
                  <c:v>129.4</c:v>
                </c:pt>
                <c:pt idx="96">
                  <c:v>130.0</c:v>
                </c:pt>
                <c:pt idx="97">
                  <c:v>130.5</c:v>
                </c:pt>
                <c:pt idx="98">
                  <c:v>131.0</c:v>
                </c:pt>
                <c:pt idx="99">
                  <c:v>131.6</c:v>
                </c:pt>
                <c:pt idx="100">
                  <c:v>132.0</c:v>
                </c:pt>
                <c:pt idx="101">
                  <c:v>132.5</c:v>
                </c:pt>
                <c:pt idx="102">
                  <c:v>133.1</c:v>
                </c:pt>
                <c:pt idx="103">
                  <c:v>133.6</c:v>
                </c:pt>
                <c:pt idx="104">
                  <c:v>134.2</c:v>
                </c:pt>
                <c:pt idx="105">
                  <c:v>134.7</c:v>
                </c:pt>
                <c:pt idx="106">
                  <c:v>135.3</c:v>
                </c:pt>
                <c:pt idx="107">
                  <c:v>135.8</c:v>
                </c:pt>
                <c:pt idx="108">
                  <c:v>136.4</c:v>
                </c:pt>
                <c:pt idx="109">
                  <c:v>136.9</c:v>
                </c:pt>
                <c:pt idx="110">
                  <c:v>137.5</c:v>
                </c:pt>
                <c:pt idx="111">
                  <c:v>138.0</c:v>
                </c:pt>
                <c:pt idx="112">
                  <c:v>138.6</c:v>
                </c:pt>
                <c:pt idx="113">
                  <c:v>139.1</c:v>
                </c:pt>
                <c:pt idx="114">
                  <c:v>139.7</c:v>
                </c:pt>
                <c:pt idx="115">
                  <c:v>140.3</c:v>
                </c:pt>
                <c:pt idx="116">
                  <c:v>140.9</c:v>
                </c:pt>
                <c:pt idx="117">
                  <c:v>141.5</c:v>
                </c:pt>
                <c:pt idx="118">
                  <c:v>142.2</c:v>
                </c:pt>
                <c:pt idx="119">
                  <c:v>142.7</c:v>
                </c:pt>
                <c:pt idx="120">
                  <c:v>143.4</c:v>
                </c:pt>
                <c:pt idx="121">
                  <c:v>144.0</c:v>
                </c:pt>
                <c:pt idx="122">
                  <c:v>144.6</c:v>
                </c:pt>
                <c:pt idx="123">
                  <c:v>145.2</c:v>
                </c:pt>
                <c:pt idx="124">
                  <c:v>145.9</c:v>
                </c:pt>
                <c:pt idx="125">
                  <c:v>146.4</c:v>
                </c:pt>
                <c:pt idx="126">
                  <c:v>147.1</c:v>
                </c:pt>
                <c:pt idx="127">
                  <c:v>147.7</c:v>
                </c:pt>
                <c:pt idx="128">
                  <c:v>148.2</c:v>
                </c:pt>
                <c:pt idx="129">
                  <c:v>148.8</c:v>
                </c:pt>
                <c:pt idx="130">
                  <c:v>149.4</c:v>
                </c:pt>
                <c:pt idx="131">
                  <c:v>149.8</c:v>
                </c:pt>
                <c:pt idx="132">
                  <c:v>150.4</c:v>
                </c:pt>
                <c:pt idx="133">
                  <c:v>151.0</c:v>
                </c:pt>
                <c:pt idx="134">
                  <c:v>151.5</c:v>
                </c:pt>
                <c:pt idx="135">
                  <c:v>152.1</c:v>
                </c:pt>
                <c:pt idx="136">
                  <c:v>152.7</c:v>
                </c:pt>
                <c:pt idx="137">
                  <c:v>153.2</c:v>
                </c:pt>
                <c:pt idx="138">
                  <c:v>153.8</c:v>
                </c:pt>
                <c:pt idx="139">
                  <c:v>154.1</c:v>
                </c:pt>
                <c:pt idx="140">
                  <c:v>154.4</c:v>
                </c:pt>
                <c:pt idx="141">
                  <c:v>154.9</c:v>
                </c:pt>
                <c:pt idx="142">
                  <c:v>155.2</c:v>
                </c:pt>
                <c:pt idx="143">
                  <c:v>155.6</c:v>
                </c:pt>
                <c:pt idx="144">
                  <c:v>155.9</c:v>
                </c:pt>
                <c:pt idx="145">
                  <c:v>156.2</c:v>
                </c:pt>
                <c:pt idx="146">
                  <c:v>156.6</c:v>
                </c:pt>
                <c:pt idx="147">
                  <c:v>157.0</c:v>
                </c:pt>
                <c:pt idx="148">
                  <c:v>157.4</c:v>
                </c:pt>
                <c:pt idx="149">
                  <c:v>157.7</c:v>
                </c:pt>
                <c:pt idx="150">
                  <c:v>158.0</c:v>
                </c:pt>
                <c:pt idx="151">
                  <c:v>158.3</c:v>
                </c:pt>
                <c:pt idx="152">
                  <c:v>158.4</c:v>
                </c:pt>
                <c:pt idx="153">
                  <c:v>158.7</c:v>
                </c:pt>
                <c:pt idx="154">
                  <c:v>158.9</c:v>
                </c:pt>
                <c:pt idx="155">
                  <c:v>159.1</c:v>
                </c:pt>
                <c:pt idx="156">
                  <c:v>159.3</c:v>
                </c:pt>
                <c:pt idx="157">
                  <c:v>159.5</c:v>
                </c:pt>
                <c:pt idx="158">
                  <c:v>159.7</c:v>
                </c:pt>
                <c:pt idx="159">
                  <c:v>159.9</c:v>
                </c:pt>
                <c:pt idx="160">
                  <c:v>160.1</c:v>
                </c:pt>
                <c:pt idx="161">
                  <c:v>160.3</c:v>
                </c:pt>
                <c:pt idx="162">
                  <c:v>160.5</c:v>
                </c:pt>
                <c:pt idx="163">
                  <c:v>160.6</c:v>
                </c:pt>
                <c:pt idx="164">
                  <c:v>160.8</c:v>
                </c:pt>
                <c:pt idx="165">
                  <c:v>160.9</c:v>
                </c:pt>
                <c:pt idx="166">
                  <c:v>161.1</c:v>
                </c:pt>
                <c:pt idx="167">
                  <c:v>161.2</c:v>
                </c:pt>
                <c:pt idx="168">
                  <c:v>161.4</c:v>
                </c:pt>
                <c:pt idx="169">
                  <c:v>161.4</c:v>
                </c:pt>
                <c:pt idx="170">
                  <c:v>161.5</c:v>
                </c:pt>
                <c:pt idx="171">
                  <c:v>161.7</c:v>
                </c:pt>
                <c:pt idx="172">
                  <c:v>161.8</c:v>
                </c:pt>
                <c:pt idx="173">
                  <c:v>162.0</c:v>
                </c:pt>
                <c:pt idx="174">
                  <c:v>162.1</c:v>
                </c:pt>
                <c:pt idx="175">
                  <c:v>162.1</c:v>
                </c:pt>
                <c:pt idx="176">
                  <c:v>162.2</c:v>
                </c:pt>
                <c:pt idx="177">
                  <c:v>162.2</c:v>
                </c:pt>
                <c:pt idx="178">
                  <c:v>162.3</c:v>
                </c:pt>
                <c:pt idx="179">
                  <c:v>162.3</c:v>
                </c:pt>
                <c:pt idx="180">
                  <c:v>162.4</c:v>
                </c:pt>
                <c:pt idx="181">
                  <c:v>162.4</c:v>
                </c:pt>
                <c:pt idx="182">
                  <c:v>162.3</c:v>
                </c:pt>
                <c:pt idx="183">
                  <c:v>162.4</c:v>
                </c:pt>
                <c:pt idx="184">
                  <c:v>162.4</c:v>
                </c:pt>
                <c:pt idx="185">
                  <c:v>162.5</c:v>
                </c:pt>
                <c:pt idx="186">
                  <c:v>162.5</c:v>
                </c:pt>
                <c:pt idx="187">
                  <c:v>162.5</c:v>
                </c:pt>
                <c:pt idx="188">
                  <c:v>162.6</c:v>
                </c:pt>
                <c:pt idx="189">
                  <c:v>162.6</c:v>
                </c:pt>
                <c:pt idx="190">
                  <c:v>162.6</c:v>
                </c:pt>
                <c:pt idx="191">
                  <c:v>162.7</c:v>
                </c:pt>
                <c:pt idx="192">
                  <c:v>162.7</c:v>
                </c:pt>
                <c:pt idx="193">
                  <c:v>162.7</c:v>
                </c:pt>
                <c:pt idx="194">
                  <c:v>162.8</c:v>
                </c:pt>
                <c:pt idx="195">
                  <c:v>162.8</c:v>
                </c:pt>
                <c:pt idx="196">
                  <c:v>162.8</c:v>
                </c:pt>
                <c:pt idx="197">
                  <c:v>162.9</c:v>
                </c:pt>
                <c:pt idx="198">
                  <c:v>162.9</c:v>
                </c:pt>
                <c:pt idx="199">
                  <c:v>162.9</c:v>
                </c:pt>
                <c:pt idx="200">
                  <c:v>163.0</c:v>
                </c:pt>
                <c:pt idx="201">
                  <c:v>163.0</c:v>
                </c:pt>
                <c:pt idx="202">
                  <c:v>163.0</c:v>
                </c:pt>
                <c:pt idx="203">
                  <c:v>163.1</c:v>
                </c:pt>
                <c:pt idx="204">
                  <c:v>163.1</c:v>
                </c:pt>
                <c:pt idx="205">
                  <c:v>163.1</c:v>
                </c:pt>
                <c:pt idx="206">
                  <c:v>163.2</c:v>
                </c:pt>
                <c:pt idx="207">
                  <c:v>163.2</c:v>
                </c:pt>
                <c:pt idx="208">
                  <c:v>163.2</c:v>
                </c:pt>
                <c:pt idx="209">
                  <c:v>163.3</c:v>
                </c:pt>
                <c:pt idx="210">
                  <c:v>163.4</c:v>
                </c:pt>
              </c:numCache>
            </c:numRef>
          </c:yVal>
          <c:smooth val="0"/>
        </c:ser>
        <c:ser>
          <c:idx val="3"/>
          <c:order val="3"/>
          <c:tx>
            <c:strRef>
              <c:f>成長曲線_データ!$J$2</c:f>
              <c:strCache>
                <c:ptCount val="1"/>
                <c:pt idx="0">
                  <c:v>-1SD</c:v>
                </c:pt>
              </c:strCache>
            </c:strRef>
          </c:tx>
          <c:spPr>
            <a:ln w="12700">
              <a:solidFill>
                <a:sysClr val="windowText" lastClr="000000"/>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成長曲線_データ!$J$4:$J$214</c:f>
              <c:numCache>
                <c:formatCode>General</c:formatCode>
                <c:ptCount val="211"/>
                <c:pt idx="0">
                  <c:v>46.3</c:v>
                </c:pt>
                <c:pt idx="1">
                  <c:v>50.5</c:v>
                </c:pt>
                <c:pt idx="2">
                  <c:v>54.5</c:v>
                </c:pt>
                <c:pt idx="3">
                  <c:v>57.8</c:v>
                </c:pt>
                <c:pt idx="4">
                  <c:v>60.4</c:v>
                </c:pt>
                <c:pt idx="5">
                  <c:v>62.3</c:v>
                </c:pt>
                <c:pt idx="6">
                  <c:v>63.90000000000001</c:v>
                </c:pt>
                <c:pt idx="7">
                  <c:v>65.2</c:v>
                </c:pt>
                <c:pt idx="8">
                  <c:v>66.5</c:v>
                </c:pt>
                <c:pt idx="9">
                  <c:v>67.6</c:v>
                </c:pt>
                <c:pt idx="10">
                  <c:v>68.8</c:v>
                </c:pt>
                <c:pt idx="11">
                  <c:v>69.8</c:v>
                </c:pt>
                <c:pt idx="12">
                  <c:v>70.9</c:v>
                </c:pt>
                <c:pt idx="13">
                  <c:v>72.0</c:v>
                </c:pt>
                <c:pt idx="14">
                  <c:v>72.9</c:v>
                </c:pt>
                <c:pt idx="15">
                  <c:v>73.9</c:v>
                </c:pt>
                <c:pt idx="16">
                  <c:v>74.9</c:v>
                </c:pt>
                <c:pt idx="17">
                  <c:v>75.7</c:v>
                </c:pt>
                <c:pt idx="18">
                  <c:v>76.7</c:v>
                </c:pt>
                <c:pt idx="19">
                  <c:v>77.5</c:v>
                </c:pt>
                <c:pt idx="20">
                  <c:v>78.4</c:v>
                </c:pt>
                <c:pt idx="21">
                  <c:v>79.2</c:v>
                </c:pt>
                <c:pt idx="22">
                  <c:v>79.9</c:v>
                </c:pt>
                <c:pt idx="23">
                  <c:v>80.6</c:v>
                </c:pt>
                <c:pt idx="24">
                  <c:v>81.4</c:v>
                </c:pt>
                <c:pt idx="25">
                  <c:v>82.0</c:v>
                </c:pt>
                <c:pt idx="26">
                  <c:v>82.7</c:v>
                </c:pt>
                <c:pt idx="27">
                  <c:v>83.4</c:v>
                </c:pt>
                <c:pt idx="28">
                  <c:v>84.0</c:v>
                </c:pt>
                <c:pt idx="29">
                  <c:v>84.60000000000001</c:v>
                </c:pt>
                <c:pt idx="30">
                  <c:v>85.30000000000001</c:v>
                </c:pt>
                <c:pt idx="31">
                  <c:v>85.8</c:v>
                </c:pt>
                <c:pt idx="32">
                  <c:v>86.4</c:v>
                </c:pt>
                <c:pt idx="33">
                  <c:v>87.0</c:v>
                </c:pt>
                <c:pt idx="34">
                  <c:v>87.60000000000001</c:v>
                </c:pt>
                <c:pt idx="35">
                  <c:v>88.3</c:v>
                </c:pt>
                <c:pt idx="36">
                  <c:v>88.8</c:v>
                </c:pt>
                <c:pt idx="37">
                  <c:v>89.4</c:v>
                </c:pt>
                <c:pt idx="38">
                  <c:v>90.1</c:v>
                </c:pt>
                <c:pt idx="39">
                  <c:v>90.6</c:v>
                </c:pt>
                <c:pt idx="40">
                  <c:v>91.2</c:v>
                </c:pt>
                <c:pt idx="41">
                  <c:v>91.8</c:v>
                </c:pt>
                <c:pt idx="42">
                  <c:v>92.30000000000001</c:v>
                </c:pt>
                <c:pt idx="43">
                  <c:v>92.9</c:v>
                </c:pt>
                <c:pt idx="44">
                  <c:v>93.5</c:v>
                </c:pt>
                <c:pt idx="45">
                  <c:v>94.0</c:v>
                </c:pt>
                <c:pt idx="46">
                  <c:v>94.6</c:v>
                </c:pt>
                <c:pt idx="47">
                  <c:v>95.10000000000001</c:v>
                </c:pt>
                <c:pt idx="48">
                  <c:v>95.7</c:v>
                </c:pt>
                <c:pt idx="49">
                  <c:v>96.2</c:v>
                </c:pt>
                <c:pt idx="50">
                  <c:v>96.69999999999998</c:v>
                </c:pt>
                <c:pt idx="51">
                  <c:v>97.3</c:v>
                </c:pt>
                <c:pt idx="52">
                  <c:v>97.8</c:v>
                </c:pt>
                <c:pt idx="53">
                  <c:v>98.3</c:v>
                </c:pt>
                <c:pt idx="54">
                  <c:v>98.8</c:v>
                </c:pt>
                <c:pt idx="55">
                  <c:v>99.4</c:v>
                </c:pt>
                <c:pt idx="56">
                  <c:v>99.80000000000001</c:v>
                </c:pt>
                <c:pt idx="57">
                  <c:v>100.4</c:v>
                </c:pt>
                <c:pt idx="58">
                  <c:v>100.9</c:v>
                </c:pt>
                <c:pt idx="59">
                  <c:v>101.4</c:v>
                </c:pt>
                <c:pt idx="60">
                  <c:v>102.0</c:v>
                </c:pt>
                <c:pt idx="61">
                  <c:v>102.4</c:v>
                </c:pt>
                <c:pt idx="62">
                  <c:v>103.0</c:v>
                </c:pt>
                <c:pt idx="63">
                  <c:v>103.5</c:v>
                </c:pt>
                <c:pt idx="64">
                  <c:v>104.0</c:v>
                </c:pt>
                <c:pt idx="65">
                  <c:v>104.5</c:v>
                </c:pt>
                <c:pt idx="66">
                  <c:v>105.1</c:v>
                </c:pt>
                <c:pt idx="67">
                  <c:v>105.5</c:v>
                </c:pt>
                <c:pt idx="68">
                  <c:v>106.1</c:v>
                </c:pt>
                <c:pt idx="69">
                  <c:v>106.6</c:v>
                </c:pt>
                <c:pt idx="70">
                  <c:v>107.0</c:v>
                </c:pt>
                <c:pt idx="71">
                  <c:v>107.6</c:v>
                </c:pt>
                <c:pt idx="72">
                  <c:v>108.1</c:v>
                </c:pt>
                <c:pt idx="73">
                  <c:v>108.6</c:v>
                </c:pt>
                <c:pt idx="74">
                  <c:v>109.1</c:v>
                </c:pt>
                <c:pt idx="75">
                  <c:v>109.5</c:v>
                </c:pt>
                <c:pt idx="76">
                  <c:v>109.9</c:v>
                </c:pt>
                <c:pt idx="77">
                  <c:v>110.4</c:v>
                </c:pt>
                <c:pt idx="78">
                  <c:v>110.9</c:v>
                </c:pt>
                <c:pt idx="79">
                  <c:v>111.4</c:v>
                </c:pt>
                <c:pt idx="80">
                  <c:v>111.9</c:v>
                </c:pt>
                <c:pt idx="81">
                  <c:v>112.4</c:v>
                </c:pt>
                <c:pt idx="82">
                  <c:v>112.8</c:v>
                </c:pt>
                <c:pt idx="83">
                  <c:v>113.3</c:v>
                </c:pt>
                <c:pt idx="84">
                  <c:v>113.8</c:v>
                </c:pt>
                <c:pt idx="85">
                  <c:v>114.2</c:v>
                </c:pt>
                <c:pt idx="86">
                  <c:v>114.7</c:v>
                </c:pt>
                <c:pt idx="87">
                  <c:v>115.1</c:v>
                </c:pt>
                <c:pt idx="88">
                  <c:v>115.6</c:v>
                </c:pt>
                <c:pt idx="89">
                  <c:v>116.1</c:v>
                </c:pt>
                <c:pt idx="90">
                  <c:v>116.6</c:v>
                </c:pt>
                <c:pt idx="91">
                  <c:v>117.0</c:v>
                </c:pt>
                <c:pt idx="92">
                  <c:v>117.5</c:v>
                </c:pt>
                <c:pt idx="93">
                  <c:v>118.0</c:v>
                </c:pt>
                <c:pt idx="94">
                  <c:v>118.3</c:v>
                </c:pt>
                <c:pt idx="95">
                  <c:v>118.8</c:v>
                </c:pt>
                <c:pt idx="96">
                  <c:v>119.2</c:v>
                </c:pt>
                <c:pt idx="97">
                  <c:v>119.7</c:v>
                </c:pt>
                <c:pt idx="98">
                  <c:v>120.2</c:v>
                </c:pt>
                <c:pt idx="99">
                  <c:v>120.6</c:v>
                </c:pt>
                <c:pt idx="100">
                  <c:v>121.0</c:v>
                </c:pt>
                <c:pt idx="101">
                  <c:v>121.5</c:v>
                </c:pt>
                <c:pt idx="102">
                  <c:v>121.9</c:v>
                </c:pt>
                <c:pt idx="103">
                  <c:v>122.4</c:v>
                </c:pt>
                <c:pt idx="104">
                  <c:v>122.8</c:v>
                </c:pt>
                <c:pt idx="105">
                  <c:v>123.3</c:v>
                </c:pt>
                <c:pt idx="106">
                  <c:v>123.7</c:v>
                </c:pt>
                <c:pt idx="107">
                  <c:v>124.2</c:v>
                </c:pt>
                <c:pt idx="108">
                  <c:v>124.6</c:v>
                </c:pt>
                <c:pt idx="109">
                  <c:v>125.1</c:v>
                </c:pt>
                <c:pt idx="110">
                  <c:v>125.5</c:v>
                </c:pt>
                <c:pt idx="111">
                  <c:v>126.0</c:v>
                </c:pt>
                <c:pt idx="112">
                  <c:v>126.4</c:v>
                </c:pt>
                <c:pt idx="113">
                  <c:v>126.9</c:v>
                </c:pt>
                <c:pt idx="114">
                  <c:v>127.3</c:v>
                </c:pt>
                <c:pt idx="115">
                  <c:v>127.9</c:v>
                </c:pt>
                <c:pt idx="116">
                  <c:v>128.3</c:v>
                </c:pt>
                <c:pt idx="117">
                  <c:v>128.9</c:v>
                </c:pt>
                <c:pt idx="118">
                  <c:v>129.4</c:v>
                </c:pt>
                <c:pt idx="119">
                  <c:v>129.9</c:v>
                </c:pt>
                <c:pt idx="120">
                  <c:v>130.4</c:v>
                </c:pt>
                <c:pt idx="121">
                  <c:v>131.0</c:v>
                </c:pt>
                <c:pt idx="122">
                  <c:v>131.4</c:v>
                </c:pt>
                <c:pt idx="123">
                  <c:v>132.0</c:v>
                </c:pt>
                <c:pt idx="124">
                  <c:v>132.5</c:v>
                </c:pt>
                <c:pt idx="125">
                  <c:v>133.0</c:v>
                </c:pt>
                <c:pt idx="126">
                  <c:v>133.5</c:v>
                </c:pt>
                <c:pt idx="127">
                  <c:v>134.1</c:v>
                </c:pt>
                <c:pt idx="128">
                  <c:v>134.6</c:v>
                </c:pt>
                <c:pt idx="129">
                  <c:v>135.2</c:v>
                </c:pt>
                <c:pt idx="130">
                  <c:v>135.8</c:v>
                </c:pt>
                <c:pt idx="131">
                  <c:v>136.4</c:v>
                </c:pt>
                <c:pt idx="132">
                  <c:v>137.0</c:v>
                </c:pt>
                <c:pt idx="133">
                  <c:v>137.6</c:v>
                </c:pt>
                <c:pt idx="134">
                  <c:v>138.1</c:v>
                </c:pt>
                <c:pt idx="135">
                  <c:v>138.7</c:v>
                </c:pt>
                <c:pt idx="136">
                  <c:v>139.3</c:v>
                </c:pt>
                <c:pt idx="137">
                  <c:v>139.8</c:v>
                </c:pt>
                <c:pt idx="138">
                  <c:v>140.4</c:v>
                </c:pt>
                <c:pt idx="139">
                  <c:v>140.9</c:v>
                </c:pt>
                <c:pt idx="140">
                  <c:v>141.4</c:v>
                </c:pt>
                <c:pt idx="141">
                  <c:v>141.9</c:v>
                </c:pt>
                <c:pt idx="142">
                  <c:v>142.4</c:v>
                </c:pt>
                <c:pt idx="143">
                  <c:v>142.8</c:v>
                </c:pt>
                <c:pt idx="144">
                  <c:v>143.3</c:v>
                </c:pt>
                <c:pt idx="145">
                  <c:v>143.8</c:v>
                </c:pt>
                <c:pt idx="146">
                  <c:v>144.2</c:v>
                </c:pt>
                <c:pt idx="147">
                  <c:v>144.8</c:v>
                </c:pt>
                <c:pt idx="148">
                  <c:v>145.2</c:v>
                </c:pt>
                <c:pt idx="149">
                  <c:v>145.7</c:v>
                </c:pt>
                <c:pt idx="150">
                  <c:v>146.2</c:v>
                </c:pt>
                <c:pt idx="151">
                  <c:v>146.5</c:v>
                </c:pt>
                <c:pt idx="152">
                  <c:v>146.8</c:v>
                </c:pt>
                <c:pt idx="153">
                  <c:v>147.1</c:v>
                </c:pt>
                <c:pt idx="154">
                  <c:v>147.3</c:v>
                </c:pt>
                <c:pt idx="155">
                  <c:v>147.7</c:v>
                </c:pt>
                <c:pt idx="156">
                  <c:v>147.9</c:v>
                </c:pt>
                <c:pt idx="157">
                  <c:v>148.3</c:v>
                </c:pt>
                <c:pt idx="158">
                  <c:v>148.5</c:v>
                </c:pt>
                <c:pt idx="159">
                  <c:v>148.9</c:v>
                </c:pt>
                <c:pt idx="160">
                  <c:v>149.1</c:v>
                </c:pt>
                <c:pt idx="161">
                  <c:v>149.5</c:v>
                </c:pt>
                <c:pt idx="162">
                  <c:v>149.7</c:v>
                </c:pt>
                <c:pt idx="163">
                  <c:v>149.8</c:v>
                </c:pt>
                <c:pt idx="164">
                  <c:v>150.0</c:v>
                </c:pt>
                <c:pt idx="165">
                  <c:v>150.1</c:v>
                </c:pt>
                <c:pt idx="166">
                  <c:v>150.3</c:v>
                </c:pt>
                <c:pt idx="167">
                  <c:v>150.4</c:v>
                </c:pt>
                <c:pt idx="168">
                  <c:v>150.6</c:v>
                </c:pt>
                <c:pt idx="169">
                  <c:v>150.8</c:v>
                </c:pt>
                <c:pt idx="170">
                  <c:v>150.9</c:v>
                </c:pt>
                <c:pt idx="171">
                  <c:v>151.1</c:v>
                </c:pt>
                <c:pt idx="172">
                  <c:v>151.2</c:v>
                </c:pt>
                <c:pt idx="173">
                  <c:v>151.4</c:v>
                </c:pt>
                <c:pt idx="174">
                  <c:v>151.5</c:v>
                </c:pt>
                <c:pt idx="175">
                  <c:v>151.5</c:v>
                </c:pt>
                <c:pt idx="176">
                  <c:v>151.6</c:v>
                </c:pt>
                <c:pt idx="177">
                  <c:v>151.6</c:v>
                </c:pt>
                <c:pt idx="178">
                  <c:v>151.7</c:v>
                </c:pt>
                <c:pt idx="179">
                  <c:v>151.7</c:v>
                </c:pt>
                <c:pt idx="180">
                  <c:v>151.8</c:v>
                </c:pt>
                <c:pt idx="181">
                  <c:v>151.8</c:v>
                </c:pt>
                <c:pt idx="182">
                  <c:v>151.9</c:v>
                </c:pt>
                <c:pt idx="183">
                  <c:v>152.0</c:v>
                </c:pt>
                <c:pt idx="184">
                  <c:v>152.0</c:v>
                </c:pt>
                <c:pt idx="185">
                  <c:v>152.1</c:v>
                </c:pt>
                <c:pt idx="186">
                  <c:v>152.1</c:v>
                </c:pt>
                <c:pt idx="187">
                  <c:v>152.1</c:v>
                </c:pt>
                <c:pt idx="188">
                  <c:v>152.2</c:v>
                </c:pt>
                <c:pt idx="189">
                  <c:v>152.2</c:v>
                </c:pt>
                <c:pt idx="190">
                  <c:v>152.2</c:v>
                </c:pt>
                <c:pt idx="191">
                  <c:v>152.3</c:v>
                </c:pt>
                <c:pt idx="192">
                  <c:v>152.3</c:v>
                </c:pt>
                <c:pt idx="193">
                  <c:v>152.3</c:v>
                </c:pt>
                <c:pt idx="194">
                  <c:v>152.4</c:v>
                </c:pt>
                <c:pt idx="195">
                  <c:v>152.4</c:v>
                </c:pt>
                <c:pt idx="196">
                  <c:v>152.4</c:v>
                </c:pt>
                <c:pt idx="197">
                  <c:v>152.5</c:v>
                </c:pt>
                <c:pt idx="198">
                  <c:v>152.5</c:v>
                </c:pt>
                <c:pt idx="199">
                  <c:v>152.5</c:v>
                </c:pt>
                <c:pt idx="200">
                  <c:v>152.6</c:v>
                </c:pt>
                <c:pt idx="201">
                  <c:v>152.6</c:v>
                </c:pt>
                <c:pt idx="202">
                  <c:v>152.6</c:v>
                </c:pt>
                <c:pt idx="203">
                  <c:v>152.7</c:v>
                </c:pt>
                <c:pt idx="204">
                  <c:v>152.7</c:v>
                </c:pt>
                <c:pt idx="205">
                  <c:v>152.7</c:v>
                </c:pt>
                <c:pt idx="206">
                  <c:v>152.8</c:v>
                </c:pt>
                <c:pt idx="207">
                  <c:v>152.8</c:v>
                </c:pt>
                <c:pt idx="208">
                  <c:v>152.8</c:v>
                </c:pt>
                <c:pt idx="209">
                  <c:v>152.9</c:v>
                </c:pt>
                <c:pt idx="210">
                  <c:v>152.8</c:v>
                </c:pt>
              </c:numCache>
            </c:numRef>
          </c:yVal>
          <c:smooth val="0"/>
        </c:ser>
        <c:ser>
          <c:idx val="4"/>
          <c:order val="4"/>
          <c:tx>
            <c:strRef>
              <c:f>成長曲線_データ!$K$2</c:f>
              <c:strCache>
                <c:ptCount val="1"/>
                <c:pt idx="0">
                  <c:v>-2SD</c:v>
                </c:pt>
              </c:strCache>
            </c:strRef>
          </c:tx>
          <c:spPr>
            <a:ln w="127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成長曲線_データ!$K$4:$K$214</c:f>
              <c:numCache>
                <c:formatCode>General</c:formatCode>
                <c:ptCount val="211"/>
                <c:pt idx="0">
                  <c:v>44.2</c:v>
                </c:pt>
                <c:pt idx="1">
                  <c:v>48.4</c:v>
                </c:pt>
                <c:pt idx="2">
                  <c:v>52.3</c:v>
                </c:pt>
                <c:pt idx="3">
                  <c:v>55.6</c:v>
                </c:pt>
                <c:pt idx="4">
                  <c:v>58.2</c:v>
                </c:pt>
                <c:pt idx="5">
                  <c:v>6</c:v>
                </c:pt>
                <c:pt idx="6">
                  <c:v>61.6</c:v>
                </c:pt>
                <c:pt idx="7">
                  <c:v>62.9</c:v>
                </c:pt>
                <c:pt idx="8">
                  <c:v>64.10000000000001</c:v>
                </c:pt>
                <c:pt idx="9">
                  <c:v>65.2</c:v>
                </c:pt>
                <c:pt idx="10">
                  <c:v>66.4</c:v>
                </c:pt>
                <c:pt idx="11">
                  <c:v>67.3</c:v>
                </c:pt>
                <c:pt idx="12">
                  <c:v>68.4</c:v>
                </c:pt>
                <c:pt idx="13">
                  <c:v>69.5</c:v>
                </c:pt>
                <c:pt idx="14">
                  <c:v>70.3</c:v>
                </c:pt>
                <c:pt idx="15">
                  <c:v>71.3</c:v>
                </c:pt>
                <c:pt idx="16">
                  <c:v>72.3</c:v>
                </c:pt>
                <c:pt idx="17">
                  <c:v>73.0</c:v>
                </c:pt>
                <c:pt idx="18">
                  <c:v>74.0</c:v>
                </c:pt>
                <c:pt idx="19">
                  <c:v>74.7</c:v>
                </c:pt>
                <c:pt idx="20">
                  <c:v>75.60000000000001</c:v>
                </c:pt>
                <c:pt idx="21">
                  <c:v>76.4</c:v>
                </c:pt>
                <c:pt idx="22">
                  <c:v>77.0</c:v>
                </c:pt>
                <c:pt idx="23">
                  <c:v>77.7</c:v>
                </c:pt>
                <c:pt idx="24">
                  <c:v>78.5</c:v>
                </c:pt>
                <c:pt idx="25">
                  <c:v>79.0</c:v>
                </c:pt>
                <c:pt idx="26">
                  <c:v>79.7</c:v>
                </c:pt>
                <c:pt idx="27">
                  <c:v>80.4</c:v>
                </c:pt>
                <c:pt idx="28">
                  <c:v>80.9</c:v>
                </c:pt>
                <c:pt idx="29">
                  <c:v>81.5</c:v>
                </c:pt>
                <c:pt idx="30">
                  <c:v>82.2</c:v>
                </c:pt>
                <c:pt idx="31">
                  <c:v>82.6</c:v>
                </c:pt>
                <c:pt idx="32">
                  <c:v>83.19999999999998</c:v>
                </c:pt>
                <c:pt idx="33">
                  <c:v>83.7</c:v>
                </c:pt>
                <c:pt idx="34">
                  <c:v>84.30000000000001</c:v>
                </c:pt>
                <c:pt idx="35">
                  <c:v>85.0</c:v>
                </c:pt>
                <c:pt idx="36">
                  <c:v>85.4</c:v>
                </c:pt>
                <c:pt idx="37">
                  <c:v>86.0</c:v>
                </c:pt>
                <c:pt idx="38">
                  <c:v>86.7</c:v>
                </c:pt>
                <c:pt idx="39">
                  <c:v>87.1</c:v>
                </c:pt>
                <c:pt idx="40">
                  <c:v>87.7</c:v>
                </c:pt>
                <c:pt idx="41">
                  <c:v>88.3</c:v>
                </c:pt>
                <c:pt idx="42">
                  <c:v>88.7</c:v>
                </c:pt>
                <c:pt idx="43">
                  <c:v>89.3</c:v>
                </c:pt>
                <c:pt idx="44">
                  <c:v>89.9</c:v>
                </c:pt>
                <c:pt idx="45">
                  <c:v>90.3</c:v>
                </c:pt>
                <c:pt idx="46">
                  <c:v>90.9</c:v>
                </c:pt>
                <c:pt idx="47">
                  <c:v>91.30000000000001</c:v>
                </c:pt>
                <c:pt idx="48">
                  <c:v>91.9</c:v>
                </c:pt>
                <c:pt idx="49">
                  <c:v>92.4</c:v>
                </c:pt>
                <c:pt idx="50">
                  <c:v>92.8</c:v>
                </c:pt>
                <c:pt idx="51">
                  <c:v>93.4</c:v>
                </c:pt>
                <c:pt idx="52">
                  <c:v>93.9</c:v>
                </c:pt>
                <c:pt idx="53">
                  <c:v>94.3</c:v>
                </c:pt>
                <c:pt idx="54">
                  <c:v>94.8</c:v>
                </c:pt>
                <c:pt idx="55">
                  <c:v>95.4</c:v>
                </c:pt>
                <c:pt idx="56">
                  <c:v>95.7</c:v>
                </c:pt>
                <c:pt idx="57">
                  <c:v>96.3</c:v>
                </c:pt>
                <c:pt idx="58">
                  <c:v>96.8</c:v>
                </c:pt>
                <c:pt idx="59">
                  <c:v>97.19999999999998</c:v>
                </c:pt>
                <c:pt idx="60">
                  <c:v>97.8</c:v>
                </c:pt>
                <c:pt idx="61">
                  <c:v>98.10000000000001</c:v>
                </c:pt>
                <c:pt idx="62">
                  <c:v>98.7</c:v>
                </c:pt>
                <c:pt idx="63">
                  <c:v>99.2</c:v>
                </c:pt>
                <c:pt idx="64">
                  <c:v>99.60000000000001</c:v>
                </c:pt>
                <c:pt idx="65">
                  <c:v>100.1</c:v>
                </c:pt>
                <c:pt idx="66">
                  <c:v>100.7</c:v>
                </c:pt>
                <c:pt idx="67">
                  <c:v>101.0</c:v>
                </c:pt>
                <c:pt idx="68">
                  <c:v>101.6</c:v>
                </c:pt>
                <c:pt idx="69">
                  <c:v>102.1</c:v>
                </c:pt>
                <c:pt idx="70">
                  <c:v>102.4</c:v>
                </c:pt>
                <c:pt idx="71">
                  <c:v>103.0</c:v>
                </c:pt>
                <c:pt idx="72">
                  <c:v>103.5</c:v>
                </c:pt>
                <c:pt idx="73">
                  <c:v>103.9</c:v>
                </c:pt>
                <c:pt idx="74">
                  <c:v>104.4</c:v>
                </c:pt>
                <c:pt idx="75">
                  <c:v>104.9</c:v>
                </c:pt>
                <c:pt idx="76">
                  <c:v>105.2</c:v>
                </c:pt>
                <c:pt idx="77">
                  <c:v>105.6</c:v>
                </c:pt>
                <c:pt idx="78">
                  <c:v>106.0</c:v>
                </c:pt>
                <c:pt idx="79">
                  <c:v>106.5</c:v>
                </c:pt>
                <c:pt idx="80">
                  <c:v>107.0</c:v>
                </c:pt>
                <c:pt idx="81">
                  <c:v>107.5</c:v>
                </c:pt>
                <c:pt idx="82">
                  <c:v>107.8</c:v>
                </c:pt>
                <c:pt idx="83">
                  <c:v>108.3</c:v>
                </c:pt>
                <c:pt idx="84">
                  <c:v>108.8</c:v>
                </c:pt>
                <c:pt idx="85">
                  <c:v>109.2</c:v>
                </c:pt>
                <c:pt idx="86">
                  <c:v>109.7</c:v>
                </c:pt>
                <c:pt idx="87">
                  <c:v>110.0</c:v>
                </c:pt>
                <c:pt idx="88">
                  <c:v>110.5</c:v>
                </c:pt>
                <c:pt idx="89">
                  <c:v>111.0</c:v>
                </c:pt>
                <c:pt idx="90">
                  <c:v>111.5</c:v>
                </c:pt>
                <c:pt idx="91">
                  <c:v>111.8</c:v>
                </c:pt>
                <c:pt idx="92">
                  <c:v>112.3</c:v>
                </c:pt>
                <c:pt idx="93">
                  <c:v>112.8</c:v>
                </c:pt>
                <c:pt idx="94">
                  <c:v>113.0</c:v>
                </c:pt>
                <c:pt idx="95">
                  <c:v>113.5</c:v>
                </c:pt>
                <c:pt idx="96">
                  <c:v>113.8</c:v>
                </c:pt>
                <c:pt idx="97">
                  <c:v>114.3</c:v>
                </c:pt>
                <c:pt idx="98">
                  <c:v>114.8</c:v>
                </c:pt>
                <c:pt idx="99">
                  <c:v>115.1</c:v>
                </c:pt>
                <c:pt idx="100">
                  <c:v>115.5</c:v>
                </c:pt>
                <c:pt idx="101">
                  <c:v>116.0</c:v>
                </c:pt>
                <c:pt idx="102">
                  <c:v>116.3</c:v>
                </c:pt>
                <c:pt idx="103">
                  <c:v>116.8</c:v>
                </c:pt>
                <c:pt idx="104">
                  <c:v>117.1</c:v>
                </c:pt>
                <c:pt idx="105">
                  <c:v>117.6</c:v>
                </c:pt>
                <c:pt idx="106">
                  <c:v>117.9</c:v>
                </c:pt>
                <c:pt idx="107">
                  <c:v>118.4</c:v>
                </c:pt>
                <c:pt idx="108">
                  <c:v>118.7</c:v>
                </c:pt>
                <c:pt idx="109">
                  <c:v>119.2</c:v>
                </c:pt>
                <c:pt idx="110">
                  <c:v>119.5</c:v>
                </c:pt>
                <c:pt idx="111">
                  <c:v>120.0</c:v>
                </c:pt>
                <c:pt idx="112">
                  <c:v>120.3</c:v>
                </c:pt>
                <c:pt idx="113">
                  <c:v>120.8</c:v>
                </c:pt>
                <c:pt idx="114">
                  <c:v>121.1</c:v>
                </c:pt>
                <c:pt idx="115">
                  <c:v>121.7</c:v>
                </c:pt>
                <c:pt idx="116">
                  <c:v>122.0</c:v>
                </c:pt>
                <c:pt idx="117">
                  <c:v>122.6</c:v>
                </c:pt>
                <c:pt idx="118">
                  <c:v>123.0</c:v>
                </c:pt>
                <c:pt idx="119">
                  <c:v>123.5</c:v>
                </c:pt>
                <c:pt idx="120">
                  <c:v>123.9</c:v>
                </c:pt>
                <c:pt idx="121">
                  <c:v>124.5</c:v>
                </c:pt>
                <c:pt idx="122">
                  <c:v>124.8</c:v>
                </c:pt>
                <c:pt idx="123">
                  <c:v>125.4</c:v>
                </c:pt>
                <c:pt idx="124">
                  <c:v>125.8</c:v>
                </c:pt>
                <c:pt idx="125">
                  <c:v>126.3</c:v>
                </c:pt>
                <c:pt idx="126">
                  <c:v>126.7</c:v>
                </c:pt>
                <c:pt idx="127">
                  <c:v>127.3</c:v>
                </c:pt>
                <c:pt idx="128">
                  <c:v>127.8</c:v>
                </c:pt>
                <c:pt idx="129">
                  <c:v>128.4</c:v>
                </c:pt>
                <c:pt idx="130">
                  <c:v>129.0</c:v>
                </c:pt>
                <c:pt idx="131">
                  <c:v>129.7</c:v>
                </c:pt>
                <c:pt idx="132">
                  <c:v>130.3</c:v>
                </c:pt>
                <c:pt idx="133">
                  <c:v>130.9</c:v>
                </c:pt>
                <c:pt idx="134">
                  <c:v>131.4</c:v>
                </c:pt>
                <c:pt idx="135">
                  <c:v>132.0</c:v>
                </c:pt>
                <c:pt idx="136">
                  <c:v>132.6</c:v>
                </c:pt>
                <c:pt idx="137">
                  <c:v>133.1</c:v>
                </c:pt>
                <c:pt idx="138">
                  <c:v>133.7</c:v>
                </c:pt>
                <c:pt idx="139">
                  <c:v>134.3</c:v>
                </c:pt>
                <c:pt idx="140">
                  <c:v>134.9</c:v>
                </c:pt>
                <c:pt idx="141">
                  <c:v>135.4</c:v>
                </c:pt>
                <c:pt idx="142">
                  <c:v>136.0</c:v>
                </c:pt>
                <c:pt idx="143">
                  <c:v>136.4</c:v>
                </c:pt>
                <c:pt idx="144">
                  <c:v>137.0</c:v>
                </c:pt>
                <c:pt idx="145">
                  <c:v>137.6</c:v>
                </c:pt>
                <c:pt idx="146">
                  <c:v>138.0</c:v>
                </c:pt>
                <c:pt idx="147">
                  <c:v>138.7</c:v>
                </c:pt>
                <c:pt idx="148">
                  <c:v>139.1</c:v>
                </c:pt>
                <c:pt idx="149">
                  <c:v>139.7</c:v>
                </c:pt>
                <c:pt idx="150">
                  <c:v>140.3</c:v>
                </c:pt>
                <c:pt idx="151">
                  <c:v>140.6</c:v>
                </c:pt>
                <c:pt idx="152">
                  <c:v>141.0</c:v>
                </c:pt>
                <c:pt idx="153">
                  <c:v>141.3</c:v>
                </c:pt>
                <c:pt idx="154">
                  <c:v>141.5</c:v>
                </c:pt>
                <c:pt idx="155">
                  <c:v>142.0</c:v>
                </c:pt>
                <c:pt idx="156">
                  <c:v>142.2</c:v>
                </c:pt>
                <c:pt idx="157">
                  <c:v>142.7</c:v>
                </c:pt>
                <c:pt idx="158">
                  <c:v>142.9</c:v>
                </c:pt>
                <c:pt idx="159">
                  <c:v>143.4</c:v>
                </c:pt>
                <c:pt idx="160">
                  <c:v>143.6</c:v>
                </c:pt>
                <c:pt idx="161">
                  <c:v>144.1</c:v>
                </c:pt>
                <c:pt idx="162">
                  <c:v>144.3</c:v>
                </c:pt>
                <c:pt idx="163">
                  <c:v>144.4</c:v>
                </c:pt>
                <c:pt idx="164">
                  <c:v>144.6</c:v>
                </c:pt>
                <c:pt idx="165">
                  <c:v>144.7</c:v>
                </c:pt>
                <c:pt idx="166">
                  <c:v>144.9</c:v>
                </c:pt>
                <c:pt idx="167">
                  <c:v>145.0</c:v>
                </c:pt>
                <c:pt idx="168">
                  <c:v>145.2</c:v>
                </c:pt>
                <c:pt idx="169">
                  <c:v>145.5</c:v>
                </c:pt>
                <c:pt idx="170">
                  <c:v>145.6</c:v>
                </c:pt>
                <c:pt idx="171">
                  <c:v>145.8</c:v>
                </c:pt>
                <c:pt idx="172">
                  <c:v>145.9</c:v>
                </c:pt>
                <c:pt idx="173">
                  <c:v>146.1</c:v>
                </c:pt>
                <c:pt idx="174">
                  <c:v>146.2</c:v>
                </c:pt>
                <c:pt idx="175">
                  <c:v>146.2</c:v>
                </c:pt>
                <c:pt idx="176">
                  <c:v>146.3</c:v>
                </c:pt>
                <c:pt idx="177">
                  <c:v>146.3</c:v>
                </c:pt>
                <c:pt idx="178">
                  <c:v>146.4</c:v>
                </c:pt>
                <c:pt idx="179">
                  <c:v>146.4</c:v>
                </c:pt>
                <c:pt idx="180">
                  <c:v>146.5</c:v>
                </c:pt>
                <c:pt idx="181">
                  <c:v>146.5</c:v>
                </c:pt>
                <c:pt idx="182">
                  <c:v>146.7</c:v>
                </c:pt>
                <c:pt idx="183">
                  <c:v>146.8</c:v>
                </c:pt>
                <c:pt idx="184">
                  <c:v>146.8</c:v>
                </c:pt>
                <c:pt idx="185">
                  <c:v>146.9</c:v>
                </c:pt>
                <c:pt idx="186">
                  <c:v>146.9</c:v>
                </c:pt>
                <c:pt idx="187">
                  <c:v>146.9</c:v>
                </c:pt>
                <c:pt idx="188">
                  <c:v>147.0</c:v>
                </c:pt>
                <c:pt idx="189">
                  <c:v>147.0</c:v>
                </c:pt>
                <c:pt idx="190">
                  <c:v>147.0</c:v>
                </c:pt>
                <c:pt idx="191">
                  <c:v>147.1</c:v>
                </c:pt>
                <c:pt idx="192">
                  <c:v>147.1</c:v>
                </c:pt>
                <c:pt idx="193">
                  <c:v>147.1</c:v>
                </c:pt>
                <c:pt idx="194">
                  <c:v>147.2</c:v>
                </c:pt>
                <c:pt idx="195">
                  <c:v>147.2</c:v>
                </c:pt>
                <c:pt idx="196">
                  <c:v>147.2</c:v>
                </c:pt>
                <c:pt idx="197">
                  <c:v>147.3</c:v>
                </c:pt>
                <c:pt idx="198">
                  <c:v>147.3</c:v>
                </c:pt>
                <c:pt idx="199">
                  <c:v>147.3</c:v>
                </c:pt>
                <c:pt idx="200">
                  <c:v>147.4</c:v>
                </c:pt>
                <c:pt idx="201">
                  <c:v>147.4</c:v>
                </c:pt>
                <c:pt idx="202">
                  <c:v>147.4</c:v>
                </c:pt>
                <c:pt idx="203">
                  <c:v>147.5</c:v>
                </c:pt>
                <c:pt idx="204">
                  <c:v>147.5</c:v>
                </c:pt>
                <c:pt idx="205">
                  <c:v>147.5</c:v>
                </c:pt>
                <c:pt idx="206">
                  <c:v>147.6</c:v>
                </c:pt>
                <c:pt idx="207">
                  <c:v>147.6</c:v>
                </c:pt>
                <c:pt idx="208">
                  <c:v>147.6</c:v>
                </c:pt>
                <c:pt idx="209">
                  <c:v>147.7</c:v>
                </c:pt>
                <c:pt idx="210">
                  <c:v>147.5</c:v>
                </c:pt>
              </c:numCache>
            </c:numRef>
          </c:yVal>
          <c:smooth val="0"/>
        </c:ser>
        <c:ser>
          <c:idx val="5"/>
          <c:order val="5"/>
          <c:tx>
            <c:strRef>
              <c:f>成長曲線_データ!$L$2</c:f>
              <c:strCache>
                <c:ptCount val="1"/>
                <c:pt idx="0">
                  <c:v>-2.5SD</c:v>
                </c:pt>
              </c:strCache>
            </c:strRef>
          </c:tx>
          <c:spPr>
            <a:ln w="12700">
              <a:solidFill>
                <a:sysClr val="windowText" lastClr="000000"/>
              </a:solidFill>
              <a:prstDash val="dash"/>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成長曲線_データ!$L$4:$L$214</c:f>
              <c:numCache>
                <c:formatCode>General</c:formatCode>
                <c:ptCount val="211"/>
                <c:pt idx="0">
                  <c:v>43.15</c:v>
                </c:pt>
                <c:pt idx="1">
                  <c:v>47.35</c:v>
                </c:pt>
                <c:pt idx="2">
                  <c:v>51.2</c:v>
                </c:pt>
                <c:pt idx="3">
                  <c:v>54.5</c:v>
                </c:pt>
                <c:pt idx="4">
                  <c:v>57.1</c:v>
                </c:pt>
                <c:pt idx="5">
                  <c:v>58.85</c:v>
                </c:pt>
                <c:pt idx="6">
                  <c:v>60.45</c:v>
                </c:pt>
                <c:pt idx="7">
                  <c:v>61.75</c:v>
                </c:pt>
                <c:pt idx="8">
                  <c:v>62.90000000000001</c:v>
                </c:pt>
                <c:pt idx="9">
                  <c:v>64.0</c:v>
                </c:pt>
                <c:pt idx="10">
                  <c:v>65.2</c:v>
                </c:pt>
                <c:pt idx="11">
                  <c:v>66.05</c:v>
                </c:pt>
                <c:pt idx="12">
                  <c:v>67.15000000000001</c:v>
                </c:pt>
                <c:pt idx="13">
                  <c:v>68.25</c:v>
                </c:pt>
                <c:pt idx="14">
                  <c:v>69.0</c:v>
                </c:pt>
                <c:pt idx="15">
                  <c:v>70.0</c:v>
                </c:pt>
                <c:pt idx="16">
                  <c:v>71.0</c:v>
                </c:pt>
                <c:pt idx="17">
                  <c:v>71.65000000000001</c:v>
                </c:pt>
                <c:pt idx="18">
                  <c:v>72.65000000000001</c:v>
                </c:pt>
                <c:pt idx="19">
                  <c:v>73.3</c:v>
                </c:pt>
                <c:pt idx="20">
                  <c:v>74.2</c:v>
                </c:pt>
                <c:pt idx="21">
                  <c:v>75.0</c:v>
                </c:pt>
                <c:pt idx="22">
                  <c:v>75.55</c:v>
                </c:pt>
                <c:pt idx="23">
                  <c:v>76.25</c:v>
                </c:pt>
                <c:pt idx="24">
                  <c:v>77.05</c:v>
                </c:pt>
                <c:pt idx="25">
                  <c:v>77.5</c:v>
                </c:pt>
                <c:pt idx="26">
                  <c:v>78.2</c:v>
                </c:pt>
                <c:pt idx="27">
                  <c:v>78.9</c:v>
                </c:pt>
                <c:pt idx="28">
                  <c:v>79.35</c:v>
                </c:pt>
                <c:pt idx="29">
                  <c:v>79.95</c:v>
                </c:pt>
                <c:pt idx="30">
                  <c:v>80.65000000000001</c:v>
                </c:pt>
                <c:pt idx="31">
                  <c:v>81.0</c:v>
                </c:pt>
                <c:pt idx="32">
                  <c:v>81.6</c:v>
                </c:pt>
                <c:pt idx="33">
                  <c:v>82.05</c:v>
                </c:pt>
                <c:pt idx="34">
                  <c:v>82.65000000000001</c:v>
                </c:pt>
                <c:pt idx="35">
                  <c:v>83.35</c:v>
                </c:pt>
                <c:pt idx="36">
                  <c:v>83.7</c:v>
                </c:pt>
                <c:pt idx="37">
                  <c:v>84.3</c:v>
                </c:pt>
                <c:pt idx="38">
                  <c:v>85.0</c:v>
                </c:pt>
                <c:pt idx="39">
                  <c:v>85.35</c:v>
                </c:pt>
                <c:pt idx="40">
                  <c:v>85.95</c:v>
                </c:pt>
                <c:pt idx="41">
                  <c:v>86.55</c:v>
                </c:pt>
                <c:pt idx="42">
                  <c:v>86.9</c:v>
                </c:pt>
                <c:pt idx="43">
                  <c:v>87.5</c:v>
                </c:pt>
                <c:pt idx="44">
                  <c:v>88.1</c:v>
                </c:pt>
                <c:pt idx="45">
                  <c:v>88.45</c:v>
                </c:pt>
                <c:pt idx="46">
                  <c:v>89.05</c:v>
                </c:pt>
                <c:pt idx="47">
                  <c:v>89.4</c:v>
                </c:pt>
                <c:pt idx="48">
                  <c:v>90.0</c:v>
                </c:pt>
                <c:pt idx="49">
                  <c:v>90.5</c:v>
                </c:pt>
                <c:pt idx="50">
                  <c:v>90.85</c:v>
                </c:pt>
                <c:pt idx="51">
                  <c:v>91.45</c:v>
                </c:pt>
                <c:pt idx="52">
                  <c:v>91.95</c:v>
                </c:pt>
                <c:pt idx="53">
                  <c:v>92.3</c:v>
                </c:pt>
                <c:pt idx="54">
                  <c:v>92.8</c:v>
                </c:pt>
                <c:pt idx="55">
                  <c:v>93.4</c:v>
                </c:pt>
                <c:pt idx="56">
                  <c:v>93.65000000000001</c:v>
                </c:pt>
                <c:pt idx="57">
                  <c:v>94.25</c:v>
                </c:pt>
                <c:pt idx="58">
                  <c:v>94.75</c:v>
                </c:pt>
                <c:pt idx="59">
                  <c:v>95.1</c:v>
                </c:pt>
                <c:pt idx="60">
                  <c:v>95.7</c:v>
                </c:pt>
                <c:pt idx="61">
                  <c:v>95.95</c:v>
                </c:pt>
                <c:pt idx="62">
                  <c:v>96.55</c:v>
                </c:pt>
                <c:pt idx="63">
                  <c:v>97.05</c:v>
                </c:pt>
                <c:pt idx="64">
                  <c:v>97.4</c:v>
                </c:pt>
                <c:pt idx="65">
                  <c:v>97.9</c:v>
                </c:pt>
                <c:pt idx="66">
                  <c:v>98.5</c:v>
                </c:pt>
                <c:pt idx="67">
                  <c:v>98.75</c:v>
                </c:pt>
                <c:pt idx="68">
                  <c:v>99.35</c:v>
                </c:pt>
                <c:pt idx="69">
                  <c:v>99.85</c:v>
                </c:pt>
                <c:pt idx="70">
                  <c:v>100.1</c:v>
                </c:pt>
                <c:pt idx="71">
                  <c:v>100.7</c:v>
                </c:pt>
                <c:pt idx="72">
                  <c:v>101.2</c:v>
                </c:pt>
                <c:pt idx="73">
                  <c:v>101.55</c:v>
                </c:pt>
                <c:pt idx="74">
                  <c:v>102.05</c:v>
                </c:pt>
                <c:pt idx="75">
                  <c:v>102.6</c:v>
                </c:pt>
                <c:pt idx="76">
                  <c:v>102.85</c:v>
                </c:pt>
                <c:pt idx="77">
                  <c:v>103.2</c:v>
                </c:pt>
                <c:pt idx="78">
                  <c:v>103.55</c:v>
                </c:pt>
                <c:pt idx="79">
                  <c:v>104.05</c:v>
                </c:pt>
                <c:pt idx="80">
                  <c:v>104.55</c:v>
                </c:pt>
                <c:pt idx="81">
                  <c:v>105.05</c:v>
                </c:pt>
                <c:pt idx="82">
                  <c:v>105.3</c:v>
                </c:pt>
                <c:pt idx="83">
                  <c:v>105.8</c:v>
                </c:pt>
                <c:pt idx="84">
                  <c:v>106.3</c:v>
                </c:pt>
                <c:pt idx="85">
                  <c:v>106.7</c:v>
                </c:pt>
                <c:pt idx="86">
                  <c:v>107.2</c:v>
                </c:pt>
                <c:pt idx="87">
                  <c:v>107.45</c:v>
                </c:pt>
                <c:pt idx="88">
                  <c:v>107.95</c:v>
                </c:pt>
                <c:pt idx="89">
                  <c:v>108.45</c:v>
                </c:pt>
                <c:pt idx="90">
                  <c:v>108.95</c:v>
                </c:pt>
                <c:pt idx="91">
                  <c:v>109.2</c:v>
                </c:pt>
                <c:pt idx="92">
                  <c:v>109.7</c:v>
                </c:pt>
                <c:pt idx="93">
                  <c:v>110.2</c:v>
                </c:pt>
                <c:pt idx="94">
                  <c:v>110.35</c:v>
                </c:pt>
                <c:pt idx="95">
                  <c:v>110.85</c:v>
                </c:pt>
                <c:pt idx="96">
                  <c:v>111.1</c:v>
                </c:pt>
                <c:pt idx="97">
                  <c:v>111.6</c:v>
                </c:pt>
                <c:pt idx="98">
                  <c:v>112.1</c:v>
                </c:pt>
                <c:pt idx="99">
                  <c:v>112.35</c:v>
                </c:pt>
                <c:pt idx="100">
                  <c:v>112.75</c:v>
                </c:pt>
                <c:pt idx="101">
                  <c:v>113.25</c:v>
                </c:pt>
                <c:pt idx="102">
                  <c:v>113.5</c:v>
                </c:pt>
                <c:pt idx="103">
                  <c:v>114.0</c:v>
                </c:pt>
                <c:pt idx="104">
                  <c:v>114.25</c:v>
                </c:pt>
                <c:pt idx="105">
                  <c:v>114.75</c:v>
                </c:pt>
                <c:pt idx="106">
                  <c:v>115.0</c:v>
                </c:pt>
                <c:pt idx="107">
                  <c:v>115.5</c:v>
                </c:pt>
                <c:pt idx="108">
                  <c:v>115.75</c:v>
                </c:pt>
                <c:pt idx="109">
                  <c:v>116.25</c:v>
                </c:pt>
                <c:pt idx="110">
                  <c:v>116.5</c:v>
                </c:pt>
                <c:pt idx="111">
                  <c:v>117.0</c:v>
                </c:pt>
                <c:pt idx="112">
                  <c:v>117.25</c:v>
                </c:pt>
                <c:pt idx="113">
                  <c:v>117.75</c:v>
                </c:pt>
                <c:pt idx="114">
                  <c:v>118.0</c:v>
                </c:pt>
                <c:pt idx="115">
                  <c:v>118.6</c:v>
                </c:pt>
                <c:pt idx="116">
                  <c:v>118.85</c:v>
                </c:pt>
                <c:pt idx="117">
                  <c:v>119.45</c:v>
                </c:pt>
                <c:pt idx="118">
                  <c:v>119.8</c:v>
                </c:pt>
                <c:pt idx="119">
                  <c:v>120.3</c:v>
                </c:pt>
                <c:pt idx="120">
                  <c:v>120.65</c:v>
                </c:pt>
                <c:pt idx="121">
                  <c:v>121.25</c:v>
                </c:pt>
                <c:pt idx="122">
                  <c:v>121.5</c:v>
                </c:pt>
                <c:pt idx="123">
                  <c:v>122.1</c:v>
                </c:pt>
                <c:pt idx="124">
                  <c:v>122.45</c:v>
                </c:pt>
                <c:pt idx="125">
                  <c:v>122.95</c:v>
                </c:pt>
                <c:pt idx="126">
                  <c:v>123.3</c:v>
                </c:pt>
                <c:pt idx="127">
                  <c:v>123.9</c:v>
                </c:pt>
                <c:pt idx="128">
                  <c:v>124.4</c:v>
                </c:pt>
                <c:pt idx="129">
                  <c:v>125.0</c:v>
                </c:pt>
                <c:pt idx="130">
                  <c:v>125.6</c:v>
                </c:pt>
                <c:pt idx="131">
                  <c:v>126.35</c:v>
                </c:pt>
                <c:pt idx="132">
                  <c:v>126.95</c:v>
                </c:pt>
                <c:pt idx="133">
                  <c:v>127.55</c:v>
                </c:pt>
                <c:pt idx="134">
                  <c:v>128.05</c:v>
                </c:pt>
                <c:pt idx="135">
                  <c:v>128.65</c:v>
                </c:pt>
                <c:pt idx="136">
                  <c:v>129.25</c:v>
                </c:pt>
                <c:pt idx="137">
                  <c:v>129.75</c:v>
                </c:pt>
                <c:pt idx="138">
                  <c:v>130.35</c:v>
                </c:pt>
                <c:pt idx="139">
                  <c:v>131.0</c:v>
                </c:pt>
                <c:pt idx="140">
                  <c:v>131.65</c:v>
                </c:pt>
                <c:pt idx="141">
                  <c:v>132.15</c:v>
                </c:pt>
                <c:pt idx="142">
                  <c:v>132.8</c:v>
                </c:pt>
                <c:pt idx="143">
                  <c:v>133.2</c:v>
                </c:pt>
                <c:pt idx="144">
                  <c:v>133.85</c:v>
                </c:pt>
                <c:pt idx="145">
                  <c:v>134.5</c:v>
                </c:pt>
                <c:pt idx="146">
                  <c:v>134.9</c:v>
                </c:pt>
                <c:pt idx="147">
                  <c:v>135.65</c:v>
                </c:pt>
                <c:pt idx="148">
                  <c:v>136.05</c:v>
                </c:pt>
                <c:pt idx="149">
                  <c:v>136.7</c:v>
                </c:pt>
                <c:pt idx="150">
                  <c:v>137.35</c:v>
                </c:pt>
                <c:pt idx="151">
                  <c:v>137.65</c:v>
                </c:pt>
                <c:pt idx="152">
                  <c:v>138.1</c:v>
                </c:pt>
                <c:pt idx="153">
                  <c:v>138.4</c:v>
                </c:pt>
                <c:pt idx="154">
                  <c:v>138.6</c:v>
                </c:pt>
                <c:pt idx="155">
                  <c:v>139.15</c:v>
                </c:pt>
                <c:pt idx="156">
                  <c:v>139.35</c:v>
                </c:pt>
                <c:pt idx="157">
                  <c:v>139.9</c:v>
                </c:pt>
                <c:pt idx="158">
                  <c:v>140.1</c:v>
                </c:pt>
                <c:pt idx="159">
                  <c:v>140.65</c:v>
                </c:pt>
                <c:pt idx="160">
                  <c:v>140.85</c:v>
                </c:pt>
                <c:pt idx="161">
                  <c:v>141.4</c:v>
                </c:pt>
                <c:pt idx="162">
                  <c:v>141.6</c:v>
                </c:pt>
                <c:pt idx="163">
                  <c:v>141.7</c:v>
                </c:pt>
                <c:pt idx="164">
                  <c:v>141.9</c:v>
                </c:pt>
                <c:pt idx="165">
                  <c:v>142.0</c:v>
                </c:pt>
                <c:pt idx="166">
                  <c:v>142.2</c:v>
                </c:pt>
                <c:pt idx="167">
                  <c:v>142.3</c:v>
                </c:pt>
                <c:pt idx="168">
                  <c:v>142.5</c:v>
                </c:pt>
                <c:pt idx="169">
                  <c:v>142.85</c:v>
                </c:pt>
                <c:pt idx="170">
                  <c:v>142.95</c:v>
                </c:pt>
                <c:pt idx="171">
                  <c:v>143.15</c:v>
                </c:pt>
                <c:pt idx="172">
                  <c:v>143.25</c:v>
                </c:pt>
                <c:pt idx="173">
                  <c:v>143.45</c:v>
                </c:pt>
                <c:pt idx="174">
                  <c:v>143.55</c:v>
                </c:pt>
                <c:pt idx="175">
                  <c:v>143.55</c:v>
                </c:pt>
                <c:pt idx="176">
                  <c:v>143.65</c:v>
                </c:pt>
                <c:pt idx="177">
                  <c:v>143.65</c:v>
                </c:pt>
                <c:pt idx="178">
                  <c:v>143.75</c:v>
                </c:pt>
                <c:pt idx="179">
                  <c:v>143.75</c:v>
                </c:pt>
                <c:pt idx="180">
                  <c:v>143.85</c:v>
                </c:pt>
                <c:pt idx="181">
                  <c:v>143.85</c:v>
                </c:pt>
                <c:pt idx="182">
                  <c:v>144.1</c:v>
                </c:pt>
                <c:pt idx="183">
                  <c:v>144.2</c:v>
                </c:pt>
                <c:pt idx="184">
                  <c:v>144.2</c:v>
                </c:pt>
                <c:pt idx="185">
                  <c:v>144.3</c:v>
                </c:pt>
                <c:pt idx="186">
                  <c:v>144.3</c:v>
                </c:pt>
                <c:pt idx="187">
                  <c:v>144.3</c:v>
                </c:pt>
                <c:pt idx="188">
                  <c:v>144.4</c:v>
                </c:pt>
                <c:pt idx="189">
                  <c:v>144.4</c:v>
                </c:pt>
                <c:pt idx="190">
                  <c:v>144.4</c:v>
                </c:pt>
                <c:pt idx="191">
                  <c:v>144.5</c:v>
                </c:pt>
                <c:pt idx="192">
                  <c:v>144.5</c:v>
                </c:pt>
                <c:pt idx="193">
                  <c:v>144.5</c:v>
                </c:pt>
                <c:pt idx="194">
                  <c:v>144.6</c:v>
                </c:pt>
                <c:pt idx="195">
                  <c:v>144.6</c:v>
                </c:pt>
                <c:pt idx="196">
                  <c:v>144.6</c:v>
                </c:pt>
                <c:pt idx="197">
                  <c:v>144.7</c:v>
                </c:pt>
                <c:pt idx="198">
                  <c:v>144.7</c:v>
                </c:pt>
                <c:pt idx="199">
                  <c:v>144.7</c:v>
                </c:pt>
                <c:pt idx="200">
                  <c:v>144.8</c:v>
                </c:pt>
                <c:pt idx="201">
                  <c:v>144.8</c:v>
                </c:pt>
                <c:pt idx="202">
                  <c:v>144.8</c:v>
                </c:pt>
                <c:pt idx="203">
                  <c:v>144.9</c:v>
                </c:pt>
                <c:pt idx="204">
                  <c:v>144.9</c:v>
                </c:pt>
                <c:pt idx="205">
                  <c:v>144.9</c:v>
                </c:pt>
                <c:pt idx="206">
                  <c:v>145.0</c:v>
                </c:pt>
                <c:pt idx="207">
                  <c:v>145.0</c:v>
                </c:pt>
                <c:pt idx="208">
                  <c:v>145.0</c:v>
                </c:pt>
                <c:pt idx="209">
                  <c:v>145.1</c:v>
                </c:pt>
                <c:pt idx="210">
                  <c:v>144.85</c:v>
                </c:pt>
              </c:numCache>
            </c:numRef>
          </c:yVal>
          <c:smooth val="0"/>
        </c:ser>
        <c:ser>
          <c:idx val="6"/>
          <c:order val="6"/>
          <c:tx>
            <c:strRef>
              <c:f>成長曲線_データ!$M$2</c:f>
              <c:strCache>
                <c:ptCount val="1"/>
                <c:pt idx="0">
                  <c:v>-3SD</c:v>
                </c:pt>
              </c:strCache>
            </c:strRef>
          </c:tx>
          <c:spPr>
            <a:ln w="12700">
              <a:solidFill>
                <a:sysClr val="windowText" lastClr="000000"/>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成長曲線_データ!$M$4:$M$214</c:f>
              <c:numCache>
                <c:formatCode>General</c:formatCode>
                <c:ptCount val="211"/>
                <c:pt idx="0">
                  <c:v>42.1</c:v>
                </c:pt>
                <c:pt idx="1">
                  <c:v>46.3</c:v>
                </c:pt>
                <c:pt idx="2">
                  <c:v>50.1</c:v>
                </c:pt>
                <c:pt idx="3">
                  <c:v>53.4</c:v>
                </c:pt>
                <c:pt idx="4">
                  <c:v>56.0</c:v>
                </c:pt>
                <c:pt idx="5">
                  <c:v>57.7</c:v>
                </c:pt>
                <c:pt idx="6">
                  <c:v>59.3</c:v>
                </c:pt>
                <c:pt idx="7">
                  <c:v>60.6</c:v>
                </c:pt>
                <c:pt idx="8">
                  <c:v>61.7</c:v>
                </c:pt>
                <c:pt idx="9">
                  <c:v>62.8</c:v>
                </c:pt>
                <c:pt idx="10">
                  <c:v>64.0</c:v>
                </c:pt>
                <c:pt idx="11">
                  <c:v>64.8</c:v>
                </c:pt>
                <c:pt idx="12">
                  <c:v>65.9</c:v>
                </c:pt>
                <c:pt idx="13">
                  <c:v>67.0</c:v>
                </c:pt>
                <c:pt idx="14">
                  <c:v>67.7</c:v>
                </c:pt>
                <c:pt idx="15">
                  <c:v>68.7</c:v>
                </c:pt>
                <c:pt idx="16">
                  <c:v>69.7</c:v>
                </c:pt>
                <c:pt idx="17">
                  <c:v>70.30000000000001</c:v>
                </c:pt>
                <c:pt idx="18">
                  <c:v>71.30000000000001</c:v>
                </c:pt>
                <c:pt idx="19">
                  <c:v>71.9</c:v>
                </c:pt>
                <c:pt idx="20">
                  <c:v>72.80000000000001</c:v>
                </c:pt>
                <c:pt idx="21">
                  <c:v>73.6</c:v>
                </c:pt>
                <c:pt idx="22">
                  <c:v>74.1</c:v>
                </c:pt>
                <c:pt idx="23">
                  <c:v>74.8</c:v>
                </c:pt>
                <c:pt idx="24">
                  <c:v>75.6</c:v>
                </c:pt>
                <c:pt idx="25">
                  <c:v>76.0</c:v>
                </c:pt>
                <c:pt idx="26">
                  <c:v>76.7</c:v>
                </c:pt>
                <c:pt idx="27">
                  <c:v>77.4</c:v>
                </c:pt>
                <c:pt idx="28">
                  <c:v>77.8</c:v>
                </c:pt>
                <c:pt idx="29">
                  <c:v>78.4</c:v>
                </c:pt>
                <c:pt idx="30">
                  <c:v>79.10000000000001</c:v>
                </c:pt>
                <c:pt idx="31">
                  <c:v>79.4</c:v>
                </c:pt>
                <c:pt idx="32">
                  <c:v>80.0</c:v>
                </c:pt>
                <c:pt idx="33">
                  <c:v>80.4</c:v>
                </c:pt>
                <c:pt idx="34">
                  <c:v>81.0</c:v>
                </c:pt>
                <c:pt idx="35">
                  <c:v>81.69999999999998</c:v>
                </c:pt>
                <c:pt idx="36">
                  <c:v>82.0</c:v>
                </c:pt>
                <c:pt idx="37">
                  <c:v>82.6</c:v>
                </c:pt>
                <c:pt idx="38">
                  <c:v>83.3</c:v>
                </c:pt>
                <c:pt idx="39">
                  <c:v>83.6</c:v>
                </c:pt>
                <c:pt idx="40">
                  <c:v>84.2</c:v>
                </c:pt>
                <c:pt idx="41">
                  <c:v>84.8</c:v>
                </c:pt>
                <c:pt idx="42">
                  <c:v>85.10000000000001</c:v>
                </c:pt>
                <c:pt idx="43">
                  <c:v>85.7</c:v>
                </c:pt>
                <c:pt idx="44">
                  <c:v>86.3</c:v>
                </c:pt>
                <c:pt idx="45">
                  <c:v>86.6</c:v>
                </c:pt>
                <c:pt idx="46">
                  <c:v>87.19999999999998</c:v>
                </c:pt>
                <c:pt idx="47">
                  <c:v>87.5</c:v>
                </c:pt>
                <c:pt idx="48">
                  <c:v>88.1</c:v>
                </c:pt>
                <c:pt idx="49">
                  <c:v>88.6</c:v>
                </c:pt>
                <c:pt idx="50">
                  <c:v>88.9</c:v>
                </c:pt>
                <c:pt idx="51">
                  <c:v>89.5</c:v>
                </c:pt>
                <c:pt idx="52">
                  <c:v>90.0</c:v>
                </c:pt>
                <c:pt idx="53">
                  <c:v>90.3</c:v>
                </c:pt>
                <c:pt idx="54">
                  <c:v>90.8</c:v>
                </c:pt>
                <c:pt idx="55">
                  <c:v>91.4</c:v>
                </c:pt>
                <c:pt idx="56">
                  <c:v>91.60000000000001</c:v>
                </c:pt>
                <c:pt idx="57">
                  <c:v>92.2</c:v>
                </c:pt>
                <c:pt idx="58">
                  <c:v>92.7</c:v>
                </c:pt>
                <c:pt idx="59">
                  <c:v>93.0</c:v>
                </c:pt>
                <c:pt idx="60">
                  <c:v>93.6</c:v>
                </c:pt>
                <c:pt idx="61">
                  <c:v>93.80000000000001</c:v>
                </c:pt>
                <c:pt idx="62">
                  <c:v>94.4</c:v>
                </c:pt>
                <c:pt idx="63">
                  <c:v>94.9</c:v>
                </c:pt>
                <c:pt idx="64">
                  <c:v>95.2</c:v>
                </c:pt>
                <c:pt idx="65">
                  <c:v>95.7</c:v>
                </c:pt>
                <c:pt idx="66">
                  <c:v>96.3</c:v>
                </c:pt>
                <c:pt idx="67">
                  <c:v>96.5</c:v>
                </c:pt>
                <c:pt idx="68">
                  <c:v>97.1</c:v>
                </c:pt>
                <c:pt idx="69">
                  <c:v>97.6</c:v>
                </c:pt>
                <c:pt idx="70">
                  <c:v>97.8</c:v>
                </c:pt>
                <c:pt idx="71">
                  <c:v>98.4</c:v>
                </c:pt>
                <c:pt idx="72">
                  <c:v>98.9</c:v>
                </c:pt>
                <c:pt idx="73">
                  <c:v>99.19999999999998</c:v>
                </c:pt>
                <c:pt idx="74">
                  <c:v>99.69999999999998</c:v>
                </c:pt>
                <c:pt idx="75">
                  <c:v>100.3</c:v>
                </c:pt>
                <c:pt idx="76">
                  <c:v>100.5</c:v>
                </c:pt>
                <c:pt idx="77">
                  <c:v>100.8</c:v>
                </c:pt>
                <c:pt idx="78">
                  <c:v>101.1</c:v>
                </c:pt>
                <c:pt idx="79">
                  <c:v>101.6</c:v>
                </c:pt>
                <c:pt idx="80">
                  <c:v>102.1</c:v>
                </c:pt>
                <c:pt idx="81">
                  <c:v>102.6</c:v>
                </c:pt>
                <c:pt idx="82">
                  <c:v>102.8</c:v>
                </c:pt>
                <c:pt idx="83">
                  <c:v>103.3</c:v>
                </c:pt>
                <c:pt idx="84">
                  <c:v>103.8</c:v>
                </c:pt>
                <c:pt idx="85">
                  <c:v>104.2</c:v>
                </c:pt>
                <c:pt idx="86">
                  <c:v>104.7</c:v>
                </c:pt>
                <c:pt idx="87">
                  <c:v>104.9</c:v>
                </c:pt>
                <c:pt idx="88">
                  <c:v>105.4</c:v>
                </c:pt>
                <c:pt idx="89">
                  <c:v>105.9</c:v>
                </c:pt>
                <c:pt idx="90">
                  <c:v>106.4</c:v>
                </c:pt>
                <c:pt idx="91">
                  <c:v>106.6</c:v>
                </c:pt>
                <c:pt idx="92">
                  <c:v>107.1</c:v>
                </c:pt>
                <c:pt idx="93">
                  <c:v>107.6</c:v>
                </c:pt>
                <c:pt idx="94">
                  <c:v>107.7</c:v>
                </c:pt>
                <c:pt idx="95">
                  <c:v>108.2</c:v>
                </c:pt>
                <c:pt idx="96">
                  <c:v>108.4</c:v>
                </c:pt>
                <c:pt idx="97">
                  <c:v>108.9</c:v>
                </c:pt>
                <c:pt idx="98">
                  <c:v>109.4</c:v>
                </c:pt>
                <c:pt idx="99">
                  <c:v>109.6</c:v>
                </c:pt>
                <c:pt idx="100">
                  <c:v>110.0</c:v>
                </c:pt>
                <c:pt idx="101">
                  <c:v>110.5</c:v>
                </c:pt>
                <c:pt idx="102">
                  <c:v>110.7</c:v>
                </c:pt>
                <c:pt idx="103">
                  <c:v>111.2</c:v>
                </c:pt>
                <c:pt idx="104">
                  <c:v>111.4</c:v>
                </c:pt>
                <c:pt idx="105">
                  <c:v>111.9</c:v>
                </c:pt>
                <c:pt idx="106">
                  <c:v>112.1</c:v>
                </c:pt>
                <c:pt idx="107">
                  <c:v>112.6</c:v>
                </c:pt>
                <c:pt idx="108">
                  <c:v>112.8</c:v>
                </c:pt>
                <c:pt idx="109">
                  <c:v>113.3</c:v>
                </c:pt>
                <c:pt idx="110">
                  <c:v>113.5</c:v>
                </c:pt>
                <c:pt idx="111">
                  <c:v>114.0</c:v>
                </c:pt>
                <c:pt idx="112">
                  <c:v>114.2</c:v>
                </c:pt>
                <c:pt idx="113">
                  <c:v>114.7</c:v>
                </c:pt>
                <c:pt idx="114">
                  <c:v>114.9</c:v>
                </c:pt>
                <c:pt idx="115">
                  <c:v>115.5</c:v>
                </c:pt>
                <c:pt idx="116">
                  <c:v>115.7</c:v>
                </c:pt>
                <c:pt idx="117">
                  <c:v>116.3</c:v>
                </c:pt>
                <c:pt idx="118">
                  <c:v>116.6</c:v>
                </c:pt>
                <c:pt idx="119">
                  <c:v>117.1</c:v>
                </c:pt>
                <c:pt idx="120">
                  <c:v>117.4</c:v>
                </c:pt>
                <c:pt idx="121">
                  <c:v>118.0</c:v>
                </c:pt>
                <c:pt idx="122">
                  <c:v>118.2</c:v>
                </c:pt>
                <c:pt idx="123">
                  <c:v>118.8</c:v>
                </c:pt>
                <c:pt idx="124">
                  <c:v>119.1</c:v>
                </c:pt>
                <c:pt idx="125">
                  <c:v>119.6</c:v>
                </c:pt>
                <c:pt idx="126">
                  <c:v>119.9</c:v>
                </c:pt>
                <c:pt idx="127">
                  <c:v>120.5</c:v>
                </c:pt>
                <c:pt idx="128">
                  <c:v>121.0</c:v>
                </c:pt>
                <c:pt idx="129">
                  <c:v>121.6</c:v>
                </c:pt>
                <c:pt idx="130">
                  <c:v>122.2</c:v>
                </c:pt>
                <c:pt idx="131">
                  <c:v>123.0</c:v>
                </c:pt>
                <c:pt idx="132">
                  <c:v>123.6</c:v>
                </c:pt>
                <c:pt idx="133">
                  <c:v>124.2</c:v>
                </c:pt>
                <c:pt idx="134">
                  <c:v>124.7</c:v>
                </c:pt>
                <c:pt idx="135">
                  <c:v>125.3</c:v>
                </c:pt>
                <c:pt idx="136">
                  <c:v>125.9</c:v>
                </c:pt>
                <c:pt idx="137">
                  <c:v>126.4</c:v>
                </c:pt>
                <c:pt idx="138">
                  <c:v>127.0</c:v>
                </c:pt>
                <c:pt idx="139">
                  <c:v>127.7</c:v>
                </c:pt>
                <c:pt idx="140">
                  <c:v>128.4</c:v>
                </c:pt>
                <c:pt idx="141">
                  <c:v>128.9</c:v>
                </c:pt>
                <c:pt idx="142">
                  <c:v>129.6</c:v>
                </c:pt>
                <c:pt idx="143">
                  <c:v>130.0</c:v>
                </c:pt>
                <c:pt idx="144">
                  <c:v>130.7</c:v>
                </c:pt>
                <c:pt idx="145">
                  <c:v>131.4</c:v>
                </c:pt>
                <c:pt idx="146">
                  <c:v>131.8</c:v>
                </c:pt>
                <c:pt idx="147">
                  <c:v>132.6</c:v>
                </c:pt>
                <c:pt idx="148">
                  <c:v>133.0</c:v>
                </c:pt>
                <c:pt idx="149">
                  <c:v>133.7</c:v>
                </c:pt>
                <c:pt idx="150">
                  <c:v>134.4</c:v>
                </c:pt>
                <c:pt idx="151">
                  <c:v>134.7</c:v>
                </c:pt>
                <c:pt idx="152">
                  <c:v>135.2</c:v>
                </c:pt>
                <c:pt idx="153">
                  <c:v>135.5</c:v>
                </c:pt>
                <c:pt idx="154">
                  <c:v>135.7</c:v>
                </c:pt>
                <c:pt idx="155">
                  <c:v>136.3</c:v>
                </c:pt>
                <c:pt idx="156">
                  <c:v>136.5</c:v>
                </c:pt>
                <c:pt idx="157">
                  <c:v>137.1</c:v>
                </c:pt>
                <c:pt idx="158">
                  <c:v>137.3</c:v>
                </c:pt>
                <c:pt idx="159">
                  <c:v>137.9</c:v>
                </c:pt>
                <c:pt idx="160">
                  <c:v>138.1</c:v>
                </c:pt>
                <c:pt idx="161">
                  <c:v>138.7</c:v>
                </c:pt>
                <c:pt idx="162">
                  <c:v>138.9</c:v>
                </c:pt>
                <c:pt idx="163">
                  <c:v>139.0</c:v>
                </c:pt>
                <c:pt idx="164">
                  <c:v>139.2</c:v>
                </c:pt>
                <c:pt idx="165">
                  <c:v>139.3</c:v>
                </c:pt>
                <c:pt idx="166">
                  <c:v>139.5</c:v>
                </c:pt>
                <c:pt idx="167">
                  <c:v>139.6</c:v>
                </c:pt>
                <c:pt idx="168">
                  <c:v>139.8</c:v>
                </c:pt>
                <c:pt idx="169">
                  <c:v>140.2</c:v>
                </c:pt>
                <c:pt idx="170">
                  <c:v>140.3</c:v>
                </c:pt>
                <c:pt idx="171">
                  <c:v>140.5</c:v>
                </c:pt>
                <c:pt idx="172">
                  <c:v>140.6</c:v>
                </c:pt>
                <c:pt idx="173">
                  <c:v>140.8</c:v>
                </c:pt>
                <c:pt idx="174">
                  <c:v>140.9</c:v>
                </c:pt>
                <c:pt idx="175">
                  <c:v>140.9</c:v>
                </c:pt>
                <c:pt idx="176">
                  <c:v>141.0</c:v>
                </c:pt>
                <c:pt idx="177">
                  <c:v>141.0</c:v>
                </c:pt>
                <c:pt idx="178">
                  <c:v>141.1</c:v>
                </c:pt>
                <c:pt idx="179">
                  <c:v>141.1</c:v>
                </c:pt>
                <c:pt idx="180">
                  <c:v>141.2</c:v>
                </c:pt>
                <c:pt idx="181">
                  <c:v>141.2</c:v>
                </c:pt>
                <c:pt idx="182">
                  <c:v>141.5</c:v>
                </c:pt>
                <c:pt idx="183">
                  <c:v>141.6</c:v>
                </c:pt>
                <c:pt idx="184">
                  <c:v>141.6</c:v>
                </c:pt>
                <c:pt idx="185">
                  <c:v>141.7</c:v>
                </c:pt>
                <c:pt idx="186">
                  <c:v>141.7</c:v>
                </c:pt>
                <c:pt idx="187">
                  <c:v>141.7</c:v>
                </c:pt>
                <c:pt idx="188">
                  <c:v>141.8</c:v>
                </c:pt>
                <c:pt idx="189">
                  <c:v>141.8</c:v>
                </c:pt>
                <c:pt idx="190">
                  <c:v>141.8</c:v>
                </c:pt>
                <c:pt idx="191">
                  <c:v>141.9</c:v>
                </c:pt>
                <c:pt idx="192">
                  <c:v>141.9</c:v>
                </c:pt>
                <c:pt idx="193">
                  <c:v>141.9</c:v>
                </c:pt>
                <c:pt idx="194">
                  <c:v>142.0</c:v>
                </c:pt>
                <c:pt idx="195">
                  <c:v>142.0</c:v>
                </c:pt>
                <c:pt idx="196">
                  <c:v>142.0</c:v>
                </c:pt>
                <c:pt idx="197">
                  <c:v>142.1</c:v>
                </c:pt>
                <c:pt idx="198">
                  <c:v>142.1</c:v>
                </c:pt>
                <c:pt idx="199">
                  <c:v>142.1</c:v>
                </c:pt>
                <c:pt idx="200">
                  <c:v>142.2</c:v>
                </c:pt>
                <c:pt idx="201">
                  <c:v>142.2</c:v>
                </c:pt>
                <c:pt idx="202">
                  <c:v>142.2</c:v>
                </c:pt>
                <c:pt idx="203">
                  <c:v>142.3</c:v>
                </c:pt>
                <c:pt idx="204">
                  <c:v>142.3</c:v>
                </c:pt>
                <c:pt idx="205">
                  <c:v>142.3</c:v>
                </c:pt>
                <c:pt idx="206">
                  <c:v>142.4</c:v>
                </c:pt>
                <c:pt idx="207">
                  <c:v>142.4</c:v>
                </c:pt>
                <c:pt idx="208">
                  <c:v>142.4</c:v>
                </c:pt>
                <c:pt idx="209">
                  <c:v>142.5</c:v>
                </c:pt>
                <c:pt idx="210">
                  <c:v>142.2</c:v>
                </c:pt>
              </c:numCache>
            </c:numRef>
          </c:yVal>
          <c:smooth val="0"/>
        </c:ser>
        <c:ser>
          <c:idx val="12"/>
          <c:order val="12"/>
          <c:tx>
            <c:strRef>
              <c:f>入力!$V$10</c:f>
              <c:strCache>
                <c:ptCount val="1"/>
                <c:pt idx="0">
                  <c:v> 身長</c:v>
                </c:pt>
              </c:strCache>
            </c:strRef>
          </c:tx>
          <c:spPr>
            <a:ln>
              <a:noFill/>
            </a:ln>
          </c:spPr>
          <c:marker>
            <c:symbol val="circle"/>
            <c:size val="8"/>
            <c:spPr>
              <a:solidFill>
                <a:srgbClr val="FF0000"/>
              </a:solidFill>
              <a:ln w="19050">
                <a:solidFill>
                  <a:sysClr val="window" lastClr="FFFFFF"/>
                </a:solidFill>
              </a:ln>
            </c:spPr>
          </c:marker>
          <c:xVal>
            <c:numRef>
              <c:f>入力!$W$7:$W$156</c:f>
              <c:numCache>
                <c:formatCode>0.00_);[Red]\(0.00\)</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入力!$B$7:$B$156</c:f>
              <c:numCache>
                <c:formatCode>General</c:formatCode>
                <c:ptCount val="150"/>
              </c:numCache>
            </c:numRef>
          </c:yVal>
          <c:smooth val="0"/>
        </c:ser>
        <c:dLbls>
          <c:showLegendKey val="0"/>
          <c:showVal val="0"/>
          <c:showCatName val="0"/>
          <c:showSerName val="0"/>
          <c:showPercent val="0"/>
          <c:showBubbleSize val="0"/>
        </c:dLbls>
        <c:axId val="-959216704"/>
        <c:axId val="-935346816"/>
      </c:scatterChart>
      <c:scatterChart>
        <c:scatterStyle val="lineMarker"/>
        <c:varyColors val="0"/>
        <c:ser>
          <c:idx val="7"/>
          <c:order val="7"/>
          <c:tx>
            <c:strRef>
              <c:f>成長曲線_データ!$O$2</c:f>
              <c:strCache>
                <c:ptCount val="1"/>
                <c:pt idx="0">
                  <c:v>平均体重</c:v>
                </c:pt>
              </c:strCache>
            </c:strRef>
          </c:tx>
          <c:spPr>
            <a:ln>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成長曲線_データ!$O$4:$O$214</c:f>
              <c:numCache>
                <c:formatCode>General</c:formatCode>
                <c:ptCount val="211"/>
                <c:pt idx="0">
                  <c:v>3.0</c:v>
                </c:pt>
                <c:pt idx="1">
                  <c:v>4.1</c:v>
                </c:pt>
                <c:pt idx="2">
                  <c:v>5.2</c:v>
                </c:pt>
                <c:pt idx="3">
                  <c:v>6.0</c:v>
                </c:pt>
                <c:pt idx="4">
                  <c:v>6.6</c:v>
                </c:pt>
                <c:pt idx="5">
                  <c:v>7.0</c:v>
                </c:pt>
                <c:pt idx="6">
                  <c:v>7.5</c:v>
                </c:pt>
                <c:pt idx="7">
                  <c:v>7.8</c:v>
                </c:pt>
                <c:pt idx="8">
                  <c:v>8.0</c:v>
                </c:pt>
                <c:pt idx="9">
                  <c:v>8.2</c:v>
                </c:pt>
                <c:pt idx="10">
                  <c:v>8.5</c:v>
                </c:pt>
                <c:pt idx="11">
                  <c:v>8.6</c:v>
                </c:pt>
                <c:pt idx="12">
                  <c:v>8.7</c:v>
                </c:pt>
                <c:pt idx="13">
                  <c:v>9.0</c:v>
                </c:pt>
                <c:pt idx="14">
                  <c:v>9.2</c:v>
                </c:pt>
                <c:pt idx="15">
                  <c:v>9.3</c:v>
                </c:pt>
                <c:pt idx="16">
                  <c:v>9.5</c:v>
                </c:pt>
                <c:pt idx="17">
                  <c:v>9.7</c:v>
                </c:pt>
                <c:pt idx="18">
                  <c:v>9.9</c:v>
                </c:pt>
                <c:pt idx="19">
                  <c:v>10.2</c:v>
                </c:pt>
                <c:pt idx="20">
                  <c:v>10.4</c:v>
                </c:pt>
                <c:pt idx="21">
                  <c:v>10.4</c:v>
                </c:pt>
                <c:pt idx="22">
                  <c:v>10.7</c:v>
                </c:pt>
                <c:pt idx="23">
                  <c:v>11.0</c:v>
                </c:pt>
                <c:pt idx="24">
                  <c:v>11.0</c:v>
                </c:pt>
                <c:pt idx="25">
                  <c:v>11.2</c:v>
                </c:pt>
                <c:pt idx="26">
                  <c:v>11.4</c:v>
                </c:pt>
                <c:pt idx="27">
                  <c:v>11.5</c:v>
                </c:pt>
                <c:pt idx="28">
                  <c:v>11.8</c:v>
                </c:pt>
                <c:pt idx="29">
                  <c:v>12.0</c:v>
                </c:pt>
                <c:pt idx="30">
                  <c:v>12.2</c:v>
                </c:pt>
                <c:pt idx="31">
                  <c:v>12.3</c:v>
                </c:pt>
                <c:pt idx="32">
                  <c:v>12.5</c:v>
                </c:pt>
                <c:pt idx="33">
                  <c:v>12.7</c:v>
                </c:pt>
                <c:pt idx="34">
                  <c:v>12.8</c:v>
                </c:pt>
                <c:pt idx="35">
                  <c:v>13.0</c:v>
                </c:pt>
                <c:pt idx="36">
                  <c:v>13.1</c:v>
                </c:pt>
                <c:pt idx="37">
                  <c:v>13.3</c:v>
                </c:pt>
                <c:pt idx="38">
                  <c:v>13.4</c:v>
                </c:pt>
                <c:pt idx="39">
                  <c:v>13.6</c:v>
                </c:pt>
                <c:pt idx="40">
                  <c:v>13.8</c:v>
                </c:pt>
                <c:pt idx="41">
                  <c:v>13.9</c:v>
                </c:pt>
                <c:pt idx="42">
                  <c:v>14.1</c:v>
                </c:pt>
                <c:pt idx="43">
                  <c:v>14.3</c:v>
                </c:pt>
                <c:pt idx="44">
                  <c:v>14.4</c:v>
                </c:pt>
                <c:pt idx="45">
                  <c:v>14.6</c:v>
                </c:pt>
                <c:pt idx="46">
                  <c:v>14.8</c:v>
                </c:pt>
                <c:pt idx="47">
                  <c:v>15.0</c:v>
                </c:pt>
                <c:pt idx="48">
                  <c:v>15.2</c:v>
                </c:pt>
                <c:pt idx="49">
                  <c:v>15.4</c:v>
                </c:pt>
                <c:pt idx="50">
                  <c:v>15.6</c:v>
                </c:pt>
                <c:pt idx="51">
                  <c:v>15.8</c:v>
                </c:pt>
                <c:pt idx="52">
                  <c:v>15.9</c:v>
                </c:pt>
                <c:pt idx="53">
                  <c:v>16.1</c:v>
                </c:pt>
                <c:pt idx="54">
                  <c:v>16.3</c:v>
                </c:pt>
                <c:pt idx="55">
                  <c:v>16.4</c:v>
                </c:pt>
                <c:pt idx="56">
                  <c:v>16.6</c:v>
                </c:pt>
                <c:pt idx="57">
                  <c:v>16.8</c:v>
                </c:pt>
                <c:pt idx="58">
                  <c:v>17.0</c:v>
                </c:pt>
                <c:pt idx="59">
                  <c:v>17.2</c:v>
                </c:pt>
                <c:pt idx="60">
                  <c:v>17.4</c:v>
                </c:pt>
                <c:pt idx="61">
                  <c:v>17.6</c:v>
                </c:pt>
                <c:pt idx="62">
                  <c:v>17.8</c:v>
                </c:pt>
                <c:pt idx="63">
                  <c:v>18.0</c:v>
                </c:pt>
                <c:pt idx="64">
                  <c:v>18.1</c:v>
                </c:pt>
                <c:pt idx="65">
                  <c:v>18.2</c:v>
                </c:pt>
                <c:pt idx="66">
                  <c:v>18.4</c:v>
                </c:pt>
                <c:pt idx="67">
                  <c:v>18.5</c:v>
                </c:pt>
                <c:pt idx="68">
                  <c:v>18.6</c:v>
                </c:pt>
                <c:pt idx="69">
                  <c:v>18.7</c:v>
                </c:pt>
                <c:pt idx="70">
                  <c:v>19.0</c:v>
                </c:pt>
                <c:pt idx="71">
                  <c:v>19.3</c:v>
                </c:pt>
                <c:pt idx="72">
                  <c:v>19.6</c:v>
                </c:pt>
                <c:pt idx="73">
                  <c:v>19.9</c:v>
                </c:pt>
                <c:pt idx="74">
                  <c:v>20.2</c:v>
                </c:pt>
                <c:pt idx="75">
                  <c:v>20.4</c:v>
                </c:pt>
                <c:pt idx="76">
                  <c:v>20.7</c:v>
                </c:pt>
                <c:pt idx="77">
                  <c:v>21.0</c:v>
                </c:pt>
                <c:pt idx="78">
                  <c:v>21.3</c:v>
                </c:pt>
                <c:pt idx="79">
                  <c:v>21.5</c:v>
                </c:pt>
                <c:pt idx="80">
                  <c:v>21.7</c:v>
                </c:pt>
                <c:pt idx="81">
                  <c:v>21.9</c:v>
                </c:pt>
                <c:pt idx="82">
                  <c:v>22.1</c:v>
                </c:pt>
                <c:pt idx="83">
                  <c:v>22.3</c:v>
                </c:pt>
                <c:pt idx="84">
                  <c:v>22.5</c:v>
                </c:pt>
                <c:pt idx="85">
                  <c:v>22.8</c:v>
                </c:pt>
                <c:pt idx="86">
                  <c:v>23.0</c:v>
                </c:pt>
                <c:pt idx="87">
                  <c:v>23.2</c:v>
                </c:pt>
                <c:pt idx="88">
                  <c:v>23.4</c:v>
                </c:pt>
                <c:pt idx="89">
                  <c:v>23.6</c:v>
                </c:pt>
                <c:pt idx="90">
                  <c:v>23.8</c:v>
                </c:pt>
                <c:pt idx="91">
                  <c:v>24.1</c:v>
                </c:pt>
                <c:pt idx="92">
                  <c:v>24.3</c:v>
                </c:pt>
                <c:pt idx="93">
                  <c:v>24.6</c:v>
                </c:pt>
                <c:pt idx="94">
                  <c:v>24.9</c:v>
                </c:pt>
                <c:pt idx="95">
                  <c:v>25.1</c:v>
                </c:pt>
                <c:pt idx="96">
                  <c:v>25.4</c:v>
                </c:pt>
                <c:pt idx="97">
                  <c:v>25.7</c:v>
                </c:pt>
                <c:pt idx="98">
                  <c:v>25.9</c:v>
                </c:pt>
                <c:pt idx="99">
                  <c:v>26.2</c:v>
                </c:pt>
                <c:pt idx="100">
                  <c:v>26.5</c:v>
                </c:pt>
                <c:pt idx="101">
                  <c:v>26.7</c:v>
                </c:pt>
                <c:pt idx="102">
                  <c:v>27.0</c:v>
                </c:pt>
                <c:pt idx="103">
                  <c:v>27.3</c:v>
                </c:pt>
                <c:pt idx="104">
                  <c:v>27.6</c:v>
                </c:pt>
                <c:pt idx="105">
                  <c:v>27.9</c:v>
                </c:pt>
                <c:pt idx="106">
                  <c:v>28.2</c:v>
                </c:pt>
                <c:pt idx="107">
                  <c:v>28.5</c:v>
                </c:pt>
                <c:pt idx="108">
                  <c:v>28.9</c:v>
                </c:pt>
                <c:pt idx="109">
                  <c:v>29.2</c:v>
                </c:pt>
                <c:pt idx="110">
                  <c:v>29.5</c:v>
                </c:pt>
                <c:pt idx="111">
                  <c:v>29.8</c:v>
                </c:pt>
                <c:pt idx="112">
                  <c:v>30.1</c:v>
                </c:pt>
                <c:pt idx="113">
                  <c:v>30.4</c:v>
                </c:pt>
                <c:pt idx="114">
                  <c:v>30.7</c:v>
                </c:pt>
                <c:pt idx="115">
                  <c:v>31.1</c:v>
                </c:pt>
                <c:pt idx="116">
                  <c:v>31.4</c:v>
                </c:pt>
                <c:pt idx="117">
                  <c:v>31.8</c:v>
                </c:pt>
                <c:pt idx="118">
                  <c:v>32.1</c:v>
                </c:pt>
                <c:pt idx="119">
                  <c:v>32.5</c:v>
                </c:pt>
                <c:pt idx="120">
                  <c:v>32.8</c:v>
                </c:pt>
                <c:pt idx="121">
                  <c:v>33.2</c:v>
                </c:pt>
                <c:pt idx="122">
                  <c:v>33.5</c:v>
                </c:pt>
                <c:pt idx="123">
                  <c:v>33.9</c:v>
                </c:pt>
                <c:pt idx="124">
                  <c:v>34.2</c:v>
                </c:pt>
                <c:pt idx="125">
                  <c:v>34.6</c:v>
                </c:pt>
                <c:pt idx="126">
                  <c:v>34.9</c:v>
                </c:pt>
                <c:pt idx="127">
                  <c:v>35.3</c:v>
                </c:pt>
                <c:pt idx="128">
                  <c:v>35.8</c:v>
                </c:pt>
                <c:pt idx="129">
                  <c:v>36.2</c:v>
                </c:pt>
                <c:pt idx="130">
                  <c:v>36.6</c:v>
                </c:pt>
                <c:pt idx="131">
                  <c:v>37.1</c:v>
                </c:pt>
                <c:pt idx="132">
                  <c:v>37.5</c:v>
                </c:pt>
                <c:pt idx="133">
                  <c:v>37.9</c:v>
                </c:pt>
                <c:pt idx="134">
                  <c:v>38.4</c:v>
                </c:pt>
                <c:pt idx="135">
                  <c:v>38.8</c:v>
                </c:pt>
                <c:pt idx="136">
                  <c:v>39.2</c:v>
                </c:pt>
                <c:pt idx="137">
                  <c:v>39.7</c:v>
                </c:pt>
                <c:pt idx="138">
                  <c:v>40.1</c:v>
                </c:pt>
                <c:pt idx="139">
                  <c:v>40.5</c:v>
                </c:pt>
                <c:pt idx="140">
                  <c:v>40.9</c:v>
                </c:pt>
                <c:pt idx="141">
                  <c:v>41.3</c:v>
                </c:pt>
                <c:pt idx="142">
                  <c:v>41.7</c:v>
                </c:pt>
                <c:pt idx="143">
                  <c:v>42.1</c:v>
                </c:pt>
                <c:pt idx="144">
                  <c:v>42.6</c:v>
                </c:pt>
                <c:pt idx="145">
                  <c:v>43.0</c:v>
                </c:pt>
                <c:pt idx="146">
                  <c:v>43.4</c:v>
                </c:pt>
                <c:pt idx="147">
                  <c:v>43.8</c:v>
                </c:pt>
                <c:pt idx="148">
                  <c:v>44.2</c:v>
                </c:pt>
                <c:pt idx="149">
                  <c:v>44.6</c:v>
                </c:pt>
                <c:pt idx="150">
                  <c:v>45.0</c:v>
                </c:pt>
                <c:pt idx="151">
                  <c:v>45.3</c:v>
                </c:pt>
                <c:pt idx="152">
                  <c:v>45.6</c:v>
                </c:pt>
                <c:pt idx="153">
                  <c:v>45.8</c:v>
                </c:pt>
                <c:pt idx="154">
                  <c:v>46.1</c:v>
                </c:pt>
                <c:pt idx="155">
                  <c:v>46.4</c:v>
                </c:pt>
                <c:pt idx="156">
                  <c:v>46.7</c:v>
                </c:pt>
                <c:pt idx="157">
                  <c:v>46.9</c:v>
                </c:pt>
                <c:pt idx="158">
                  <c:v>47.2</c:v>
                </c:pt>
                <c:pt idx="159">
                  <c:v>47.5</c:v>
                </c:pt>
                <c:pt idx="160">
                  <c:v>47.8</c:v>
                </c:pt>
                <c:pt idx="161">
                  <c:v>48.0</c:v>
                </c:pt>
                <c:pt idx="162">
                  <c:v>48.3</c:v>
                </c:pt>
                <c:pt idx="163">
                  <c:v>48.7</c:v>
                </c:pt>
                <c:pt idx="164">
                  <c:v>48.9</c:v>
                </c:pt>
                <c:pt idx="165">
                  <c:v>48.9</c:v>
                </c:pt>
                <c:pt idx="166">
                  <c:v>49.1</c:v>
                </c:pt>
                <c:pt idx="167">
                  <c:v>49.3</c:v>
                </c:pt>
                <c:pt idx="168">
                  <c:v>49.5</c:v>
                </c:pt>
                <c:pt idx="169">
                  <c:v>49.7</c:v>
                </c:pt>
                <c:pt idx="170">
                  <c:v>49.9</c:v>
                </c:pt>
                <c:pt idx="171">
                  <c:v>50.1</c:v>
                </c:pt>
                <c:pt idx="172">
                  <c:v>50.3</c:v>
                </c:pt>
                <c:pt idx="173">
                  <c:v>50.5</c:v>
                </c:pt>
                <c:pt idx="174">
                  <c:v>50.7</c:v>
                </c:pt>
                <c:pt idx="175">
                  <c:v>50.8</c:v>
                </c:pt>
                <c:pt idx="176">
                  <c:v>50.9</c:v>
                </c:pt>
                <c:pt idx="177">
                  <c:v>51.1</c:v>
                </c:pt>
                <c:pt idx="178">
                  <c:v>51.2</c:v>
                </c:pt>
                <c:pt idx="179">
                  <c:v>51.3</c:v>
                </c:pt>
                <c:pt idx="180">
                  <c:v>51.4</c:v>
                </c:pt>
                <c:pt idx="181">
                  <c:v>51.5</c:v>
                </c:pt>
                <c:pt idx="182">
                  <c:v>51.6</c:v>
                </c:pt>
                <c:pt idx="183">
                  <c:v>51.8</c:v>
                </c:pt>
                <c:pt idx="184">
                  <c:v>51.9</c:v>
                </c:pt>
                <c:pt idx="185">
                  <c:v>52.0</c:v>
                </c:pt>
                <c:pt idx="186">
                  <c:v>52.1</c:v>
                </c:pt>
                <c:pt idx="187">
                  <c:v>52.2</c:v>
                </c:pt>
                <c:pt idx="188">
                  <c:v>52.3</c:v>
                </c:pt>
                <c:pt idx="189">
                  <c:v>52.3</c:v>
                </c:pt>
                <c:pt idx="190">
                  <c:v>52.4</c:v>
                </c:pt>
                <c:pt idx="191">
                  <c:v>52.5</c:v>
                </c:pt>
                <c:pt idx="192">
                  <c:v>52.6</c:v>
                </c:pt>
                <c:pt idx="193">
                  <c:v>52.6</c:v>
                </c:pt>
                <c:pt idx="194">
                  <c:v>52.7</c:v>
                </c:pt>
                <c:pt idx="195">
                  <c:v>52.8</c:v>
                </c:pt>
                <c:pt idx="196">
                  <c:v>52.9</c:v>
                </c:pt>
                <c:pt idx="197">
                  <c:v>52.9</c:v>
                </c:pt>
                <c:pt idx="198">
                  <c:v>53.0</c:v>
                </c:pt>
                <c:pt idx="199">
                  <c:v>53.0</c:v>
                </c:pt>
                <c:pt idx="200">
                  <c:v>53.0</c:v>
                </c:pt>
                <c:pt idx="201">
                  <c:v>53.0</c:v>
                </c:pt>
                <c:pt idx="202">
                  <c:v>53.0</c:v>
                </c:pt>
                <c:pt idx="203">
                  <c:v>53.0</c:v>
                </c:pt>
                <c:pt idx="204">
                  <c:v>53.1</c:v>
                </c:pt>
                <c:pt idx="205">
                  <c:v>53.1</c:v>
                </c:pt>
                <c:pt idx="206">
                  <c:v>53.1</c:v>
                </c:pt>
                <c:pt idx="207">
                  <c:v>53.1</c:v>
                </c:pt>
                <c:pt idx="208">
                  <c:v>53.1</c:v>
                </c:pt>
                <c:pt idx="209">
                  <c:v>53.1</c:v>
                </c:pt>
                <c:pt idx="210">
                  <c:v>53.1</c:v>
                </c:pt>
              </c:numCache>
            </c:numRef>
          </c:yVal>
          <c:smooth val="0"/>
        </c:ser>
        <c:ser>
          <c:idx val="8"/>
          <c:order val="8"/>
          <c:tx>
            <c:strRef>
              <c:f>成長曲線_データ!$Q$2</c:f>
              <c:strCache>
                <c:ptCount val="1"/>
                <c:pt idx="0">
                  <c:v>+2SD</c:v>
                </c:pt>
              </c:strCache>
            </c:strRef>
          </c:tx>
          <c:spPr>
            <a:ln w="12700">
              <a:solidFill>
                <a:sysClr val="windowText" lastClr="000000"/>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成長曲線_データ!$Q$4:$Q$214</c:f>
              <c:numCache>
                <c:formatCode>General</c:formatCode>
                <c:ptCount val="211"/>
                <c:pt idx="0">
                  <c:v>3.8</c:v>
                </c:pt>
                <c:pt idx="1">
                  <c:v>5.119999999999999</c:v>
                </c:pt>
                <c:pt idx="2">
                  <c:v>6.4</c:v>
                </c:pt>
                <c:pt idx="3">
                  <c:v>7.32</c:v>
                </c:pt>
                <c:pt idx="4">
                  <c:v>8.1</c:v>
                </c:pt>
                <c:pt idx="5">
                  <c:v>8.66</c:v>
                </c:pt>
                <c:pt idx="6">
                  <c:v>9.08</c:v>
                </c:pt>
                <c:pt idx="7">
                  <c:v>9.4</c:v>
                </c:pt>
                <c:pt idx="8">
                  <c:v>9.76</c:v>
                </c:pt>
                <c:pt idx="9">
                  <c:v>10.0</c:v>
                </c:pt>
                <c:pt idx="10">
                  <c:v>10.24</c:v>
                </c:pt>
                <c:pt idx="11">
                  <c:v>10.42</c:v>
                </c:pt>
                <c:pt idx="12">
                  <c:v>10.62</c:v>
                </c:pt>
                <c:pt idx="13">
                  <c:v>10.8</c:v>
                </c:pt>
                <c:pt idx="14">
                  <c:v>11.08</c:v>
                </c:pt>
                <c:pt idx="15">
                  <c:v>11.22</c:v>
                </c:pt>
                <c:pt idx="16">
                  <c:v>11.36</c:v>
                </c:pt>
                <c:pt idx="17">
                  <c:v>11.68</c:v>
                </c:pt>
                <c:pt idx="18">
                  <c:v>11.96</c:v>
                </c:pt>
                <c:pt idx="19">
                  <c:v>12.34</c:v>
                </c:pt>
                <c:pt idx="20">
                  <c:v>12.56</c:v>
                </c:pt>
                <c:pt idx="21">
                  <c:v>12.48</c:v>
                </c:pt>
                <c:pt idx="22">
                  <c:v>13.08</c:v>
                </c:pt>
                <c:pt idx="23">
                  <c:v>13.46</c:v>
                </c:pt>
                <c:pt idx="24">
                  <c:v>13.24</c:v>
                </c:pt>
                <c:pt idx="25">
                  <c:v>13.56</c:v>
                </c:pt>
                <c:pt idx="26">
                  <c:v>13.9</c:v>
                </c:pt>
                <c:pt idx="27">
                  <c:v>14.12</c:v>
                </c:pt>
                <c:pt idx="28">
                  <c:v>14.48</c:v>
                </c:pt>
                <c:pt idx="29">
                  <c:v>14.72</c:v>
                </c:pt>
                <c:pt idx="30">
                  <c:v>14.98</c:v>
                </c:pt>
                <c:pt idx="31">
                  <c:v>15.12</c:v>
                </c:pt>
                <c:pt idx="32">
                  <c:v>15.38</c:v>
                </c:pt>
                <c:pt idx="33">
                  <c:v>15.62</c:v>
                </c:pt>
                <c:pt idx="34">
                  <c:v>15.8</c:v>
                </c:pt>
                <c:pt idx="35">
                  <c:v>16.06</c:v>
                </c:pt>
                <c:pt idx="36">
                  <c:v>16.24</c:v>
                </c:pt>
                <c:pt idx="37">
                  <c:v>16.52</c:v>
                </c:pt>
                <c:pt idx="38">
                  <c:v>16.68</c:v>
                </c:pt>
                <c:pt idx="39">
                  <c:v>16.96</c:v>
                </c:pt>
                <c:pt idx="40">
                  <c:v>17.16</c:v>
                </c:pt>
                <c:pt idx="41">
                  <c:v>17.26</c:v>
                </c:pt>
                <c:pt idx="42">
                  <c:v>17.46</c:v>
                </c:pt>
                <c:pt idx="43">
                  <c:v>17.64</c:v>
                </c:pt>
                <c:pt idx="44">
                  <c:v>17.74</c:v>
                </c:pt>
                <c:pt idx="45">
                  <c:v>17.94</c:v>
                </c:pt>
                <c:pt idx="46">
                  <c:v>18.36</c:v>
                </c:pt>
                <c:pt idx="47">
                  <c:v>18.8</c:v>
                </c:pt>
                <c:pt idx="48">
                  <c:v>19.22</c:v>
                </c:pt>
                <c:pt idx="49">
                  <c:v>19.64</c:v>
                </c:pt>
                <c:pt idx="50">
                  <c:v>20.08</c:v>
                </c:pt>
                <c:pt idx="51">
                  <c:v>20.5</c:v>
                </c:pt>
                <c:pt idx="52">
                  <c:v>20.5</c:v>
                </c:pt>
                <c:pt idx="53">
                  <c:v>20.58</c:v>
                </c:pt>
                <c:pt idx="54">
                  <c:v>20.68</c:v>
                </c:pt>
                <c:pt idx="55">
                  <c:v>20.68</c:v>
                </c:pt>
                <c:pt idx="56">
                  <c:v>20.76</c:v>
                </c:pt>
                <c:pt idx="57">
                  <c:v>20.86</c:v>
                </c:pt>
                <c:pt idx="58">
                  <c:v>21.24</c:v>
                </c:pt>
                <c:pt idx="59">
                  <c:v>21.64</c:v>
                </c:pt>
                <c:pt idx="60">
                  <c:v>22.02</c:v>
                </c:pt>
                <c:pt idx="61">
                  <c:v>22.4</c:v>
                </c:pt>
                <c:pt idx="62">
                  <c:v>22.8</c:v>
                </c:pt>
                <c:pt idx="63">
                  <c:v>23.18</c:v>
                </c:pt>
                <c:pt idx="64">
                  <c:v>23.34</c:v>
                </c:pt>
                <c:pt idx="65">
                  <c:v>23.48</c:v>
                </c:pt>
                <c:pt idx="66">
                  <c:v>23.74</c:v>
                </c:pt>
                <c:pt idx="67">
                  <c:v>23.9</c:v>
                </c:pt>
                <c:pt idx="68">
                  <c:v>24.04</c:v>
                </c:pt>
                <c:pt idx="69">
                  <c:v>24.2</c:v>
                </c:pt>
                <c:pt idx="70">
                  <c:v>24.68</c:v>
                </c:pt>
                <c:pt idx="71">
                  <c:v>25.16</c:v>
                </c:pt>
                <c:pt idx="72">
                  <c:v>25.64</c:v>
                </c:pt>
                <c:pt idx="73">
                  <c:v>26.12</c:v>
                </c:pt>
                <c:pt idx="74">
                  <c:v>26.58</c:v>
                </c:pt>
                <c:pt idx="75">
                  <c:v>26.96</c:v>
                </c:pt>
                <c:pt idx="76">
                  <c:v>27.44</c:v>
                </c:pt>
                <c:pt idx="77">
                  <c:v>27.92</c:v>
                </c:pt>
                <c:pt idx="78">
                  <c:v>28.4</c:v>
                </c:pt>
                <c:pt idx="79">
                  <c:v>28.72</c:v>
                </c:pt>
                <c:pt idx="80">
                  <c:v>29.02</c:v>
                </c:pt>
                <c:pt idx="81">
                  <c:v>29.34</c:v>
                </c:pt>
                <c:pt idx="82">
                  <c:v>29.64</c:v>
                </c:pt>
                <c:pt idx="83">
                  <c:v>29.96</c:v>
                </c:pt>
                <c:pt idx="84">
                  <c:v>30.28</c:v>
                </c:pt>
                <c:pt idx="85">
                  <c:v>30.68</c:v>
                </c:pt>
                <c:pt idx="86">
                  <c:v>31.0</c:v>
                </c:pt>
                <c:pt idx="87">
                  <c:v>31.3</c:v>
                </c:pt>
                <c:pt idx="88">
                  <c:v>31.62</c:v>
                </c:pt>
                <c:pt idx="89">
                  <c:v>31.92</c:v>
                </c:pt>
                <c:pt idx="90">
                  <c:v>32.24</c:v>
                </c:pt>
                <c:pt idx="91">
                  <c:v>32.72</c:v>
                </c:pt>
                <c:pt idx="92">
                  <c:v>33.08</c:v>
                </c:pt>
                <c:pt idx="93">
                  <c:v>33.56</c:v>
                </c:pt>
                <c:pt idx="94">
                  <c:v>34.04</c:v>
                </c:pt>
                <c:pt idx="95">
                  <c:v>34.40000000000001</c:v>
                </c:pt>
                <c:pt idx="96">
                  <c:v>34.88</c:v>
                </c:pt>
                <c:pt idx="97">
                  <c:v>35.36</c:v>
                </c:pt>
                <c:pt idx="98">
                  <c:v>35.72</c:v>
                </c:pt>
                <c:pt idx="99">
                  <c:v>36.2</c:v>
                </c:pt>
                <c:pt idx="100">
                  <c:v>36.68</c:v>
                </c:pt>
                <c:pt idx="101">
                  <c:v>37.04</c:v>
                </c:pt>
                <c:pt idx="102">
                  <c:v>37.52</c:v>
                </c:pt>
                <c:pt idx="103">
                  <c:v>38.02</c:v>
                </c:pt>
                <c:pt idx="104">
                  <c:v>38.5</c:v>
                </c:pt>
                <c:pt idx="105">
                  <c:v>39.0</c:v>
                </c:pt>
                <c:pt idx="106">
                  <c:v>39.48</c:v>
                </c:pt>
                <c:pt idx="107">
                  <c:v>39.98</c:v>
                </c:pt>
                <c:pt idx="108">
                  <c:v>40.58</c:v>
                </c:pt>
                <c:pt idx="109">
                  <c:v>41.06</c:v>
                </c:pt>
                <c:pt idx="110">
                  <c:v>41.56</c:v>
                </c:pt>
                <c:pt idx="111">
                  <c:v>42.04</c:v>
                </c:pt>
                <c:pt idx="112">
                  <c:v>42.54</c:v>
                </c:pt>
                <c:pt idx="113">
                  <c:v>43.02</c:v>
                </c:pt>
                <c:pt idx="114">
                  <c:v>43.52</c:v>
                </c:pt>
                <c:pt idx="115">
                  <c:v>44.1</c:v>
                </c:pt>
                <c:pt idx="116">
                  <c:v>44.58</c:v>
                </c:pt>
                <c:pt idx="117">
                  <c:v>45.18</c:v>
                </c:pt>
                <c:pt idx="118">
                  <c:v>45.66</c:v>
                </c:pt>
                <c:pt idx="119">
                  <c:v>46.24</c:v>
                </c:pt>
                <c:pt idx="120">
                  <c:v>46.72</c:v>
                </c:pt>
                <c:pt idx="121">
                  <c:v>47.3</c:v>
                </c:pt>
                <c:pt idx="122">
                  <c:v>47.78</c:v>
                </c:pt>
                <c:pt idx="123">
                  <c:v>48.38</c:v>
                </c:pt>
                <c:pt idx="124">
                  <c:v>48.86</c:v>
                </c:pt>
                <c:pt idx="125">
                  <c:v>49.44</c:v>
                </c:pt>
                <c:pt idx="126">
                  <c:v>49.92</c:v>
                </c:pt>
                <c:pt idx="127">
                  <c:v>50.46</c:v>
                </c:pt>
                <c:pt idx="128">
                  <c:v>51.1</c:v>
                </c:pt>
                <c:pt idx="129">
                  <c:v>51.64</c:v>
                </c:pt>
                <c:pt idx="130">
                  <c:v>52.18</c:v>
                </c:pt>
                <c:pt idx="131">
                  <c:v>52.82</c:v>
                </c:pt>
                <c:pt idx="132">
                  <c:v>53.36</c:v>
                </c:pt>
                <c:pt idx="133">
                  <c:v>53.9</c:v>
                </c:pt>
                <c:pt idx="134">
                  <c:v>54.54</c:v>
                </c:pt>
                <c:pt idx="135">
                  <c:v>55.08</c:v>
                </c:pt>
                <c:pt idx="136">
                  <c:v>55.62</c:v>
                </c:pt>
                <c:pt idx="137">
                  <c:v>56.26</c:v>
                </c:pt>
                <c:pt idx="138">
                  <c:v>56.8</c:v>
                </c:pt>
                <c:pt idx="139">
                  <c:v>57.24</c:v>
                </c:pt>
                <c:pt idx="140">
                  <c:v>57.68</c:v>
                </c:pt>
                <c:pt idx="141">
                  <c:v>58.12</c:v>
                </c:pt>
                <c:pt idx="142">
                  <c:v>58.56</c:v>
                </c:pt>
                <c:pt idx="143">
                  <c:v>59.0</c:v>
                </c:pt>
                <c:pt idx="144">
                  <c:v>59.54000000000001</c:v>
                </c:pt>
                <c:pt idx="145">
                  <c:v>59.98</c:v>
                </c:pt>
                <c:pt idx="146">
                  <c:v>60.42</c:v>
                </c:pt>
                <c:pt idx="147">
                  <c:v>60.86</c:v>
                </c:pt>
                <c:pt idx="148">
                  <c:v>61.3</c:v>
                </c:pt>
                <c:pt idx="149">
                  <c:v>61.74</c:v>
                </c:pt>
                <c:pt idx="150">
                  <c:v>62.18</c:v>
                </c:pt>
                <c:pt idx="151">
                  <c:v>62.42</c:v>
                </c:pt>
                <c:pt idx="152">
                  <c:v>62.66</c:v>
                </c:pt>
                <c:pt idx="153">
                  <c:v>62.8</c:v>
                </c:pt>
                <c:pt idx="154">
                  <c:v>63.04000000000001</c:v>
                </c:pt>
                <c:pt idx="155">
                  <c:v>63.28</c:v>
                </c:pt>
                <c:pt idx="156">
                  <c:v>63.54000000000001</c:v>
                </c:pt>
                <c:pt idx="157">
                  <c:v>63.68</c:v>
                </c:pt>
                <c:pt idx="158">
                  <c:v>63.92</c:v>
                </c:pt>
                <c:pt idx="159">
                  <c:v>64.16</c:v>
                </c:pt>
                <c:pt idx="160">
                  <c:v>64.4</c:v>
                </c:pt>
                <c:pt idx="161">
                  <c:v>64.54</c:v>
                </c:pt>
                <c:pt idx="162">
                  <c:v>64.78</c:v>
                </c:pt>
                <c:pt idx="163">
                  <c:v>65.14</c:v>
                </c:pt>
                <c:pt idx="164">
                  <c:v>65.28</c:v>
                </c:pt>
                <c:pt idx="165">
                  <c:v>65.24</c:v>
                </c:pt>
                <c:pt idx="166">
                  <c:v>65.38</c:v>
                </c:pt>
                <c:pt idx="167">
                  <c:v>65.54</c:v>
                </c:pt>
                <c:pt idx="168">
                  <c:v>65.7</c:v>
                </c:pt>
                <c:pt idx="169">
                  <c:v>65.84</c:v>
                </c:pt>
                <c:pt idx="170">
                  <c:v>66.0</c:v>
                </c:pt>
                <c:pt idx="171">
                  <c:v>66.14</c:v>
                </c:pt>
                <c:pt idx="172">
                  <c:v>66.3</c:v>
                </c:pt>
                <c:pt idx="173">
                  <c:v>66.44</c:v>
                </c:pt>
                <c:pt idx="174">
                  <c:v>66.60000000000001</c:v>
                </c:pt>
                <c:pt idx="175">
                  <c:v>66.76</c:v>
                </c:pt>
                <c:pt idx="176">
                  <c:v>66.9</c:v>
                </c:pt>
                <c:pt idx="177">
                  <c:v>67.16</c:v>
                </c:pt>
                <c:pt idx="178">
                  <c:v>67.30000000000001</c:v>
                </c:pt>
                <c:pt idx="179">
                  <c:v>67.46</c:v>
                </c:pt>
                <c:pt idx="180">
                  <c:v>67.62</c:v>
                </c:pt>
                <c:pt idx="181">
                  <c:v>67.76</c:v>
                </c:pt>
                <c:pt idx="182">
                  <c:v>67.92</c:v>
                </c:pt>
                <c:pt idx="183">
                  <c:v>68.16</c:v>
                </c:pt>
                <c:pt idx="184">
                  <c:v>68.32</c:v>
                </c:pt>
                <c:pt idx="185">
                  <c:v>68.46</c:v>
                </c:pt>
                <c:pt idx="186">
                  <c:v>68.62</c:v>
                </c:pt>
                <c:pt idx="187">
                  <c:v>68.64</c:v>
                </c:pt>
                <c:pt idx="188">
                  <c:v>68.67999999999999</c:v>
                </c:pt>
                <c:pt idx="189">
                  <c:v>68.6</c:v>
                </c:pt>
                <c:pt idx="190">
                  <c:v>68.62</c:v>
                </c:pt>
                <c:pt idx="191">
                  <c:v>68.64</c:v>
                </c:pt>
                <c:pt idx="192">
                  <c:v>68.68000000000001</c:v>
                </c:pt>
                <c:pt idx="193">
                  <c:v>68.6</c:v>
                </c:pt>
                <c:pt idx="194">
                  <c:v>68.62</c:v>
                </c:pt>
                <c:pt idx="195">
                  <c:v>68.64</c:v>
                </c:pt>
                <c:pt idx="196">
                  <c:v>68.67999999999999</c:v>
                </c:pt>
                <c:pt idx="197">
                  <c:v>68.6</c:v>
                </c:pt>
                <c:pt idx="198">
                  <c:v>68.62</c:v>
                </c:pt>
                <c:pt idx="199">
                  <c:v>68.64</c:v>
                </c:pt>
                <c:pt idx="200">
                  <c:v>68.64</c:v>
                </c:pt>
                <c:pt idx="201">
                  <c:v>68.66</c:v>
                </c:pt>
                <c:pt idx="202">
                  <c:v>68.68000000000001</c:v>
                </c:pt>
                <c:pt idx="203">
                  <c:v>68.68000000000001</c:v>
                </c:pt>
                <c:pt idx="204">
                  <c:v>68.8</c:v>
                </c:pt>
                <c:pt idx="205">
                  <c:v>68.82000000000001</c:v>
                </c:pt>
                <c:pt idx="206">
                  <c:v>68.82000000000001</c:v>
                </c:pt>
                <c:pt idx="207">
                  <c:v>68.84</c:v>
                </c:pt>
                <c:pt idx="208">
                  <c:v>68.86</c:v>
                </c:pt>
                <c:pt idx="209">
                  <c:v>68.86</c:v>
                </c:pt>
                <c:pt idx="210">
                  <c:v>68.88</c:v>
                </c:pt>
              </c:numCache>
            </c:numRef>
          </c:yVal>
          <c:smooth val="0"/>
        </c:ser>
        <c:ser>
          <c:idx val="9"/>
          <c:order val="9"/>
          <c:tx>
            <c:strRef>
              <c:f>成長曲線_データ!$R$2</c:f>
              <c:strCache>
                <c:ptCount val="1"/>
                <c:pt idx="0">
                  <c:v>+1SD</c:v>
                </c:pt>
              </c:strCache>
            </c:strRef>
          </c:tx>
          <c:spPr>
            <a:ln w="127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成長曲線_データ!$R$4:$R$214</c:f>
              <c:numCache>
                <c:formatCode>General</c:formatCode>
                <c:ptCount val="211"/>
                <c:pt idx="0">
                  <c:v>3.4</c:v>
                </c:pt>
                <c:pt idx="1">
                  <c:v>4.609999999999999</c:v>
                </c:pt>
                <c:pt idx="2">
                  <c:v>5.8</c:v>
                </c:pt>
                <c:pt idx="3">
                  <c:v>6.66</c:v>
                </c:pt>
                <c:pt idx="4">
                  <c:v>7.35</c:v>
                </c:pt>
                <c:pt idx="5">
                  <c:v>7.83</c:v>
                </c:pt>
                <c:pt idx="6">
                  <c:v>8.29</c:v>
                </c:pt>
                <c:pt idx="7">
                  <c:v>8.6</c:v>
                </c:pt>
                <c:pt idx="8">
                  <c:v>8.88</c:v>
                </c:pt>
                <c:pt idx="9">
                  <c:v>9.1</c:v>
                </c:pt>
                <c:pt idx="10">
                  <c:v>9.37</c:v>
                </c:pt>
                <c:pt idx="11">
                  <c:v>9.51</c:v>
                </c:pt>
                <c:pt idx="12">
                  <c:v>9.66</c:v>
                </c:pt>
                <c:pt idx="13">
                  <c:v>9.9</c:v>
                </c:pt>
                <c:pt idx="14">
                  <c:v>10.14</c:v>
                </c:pt>
                <c:pt idx="15">
                  <c:v>10.26</c:v>
                </c:pt>
                <c:pt idx="16">
                  <c:v>10.43</c:v>
                </c:pt>
                <c:pt idx="17">
                  <c:v>10.69</c:v>
                </c:pt>
                <c:pt idx="18">
                  <c:v>10.93</c:v>
                </c:pt>
                <c:pt idx="19">
                  <c:v>11.27</c:v>
                </c:pt>
                <c:pt idx="20">
                  <c:v>11.48</c:v>
                </c:pt>
                <c:pt idx="21">
                  <c:v>11.44</c:v>
                </c:pt>
                <c:pt idx="22">
                  <c:v>11.89</c:v>
                </c:pt>
                <c:pt idx="23">
                  <c:v>12.23</c:v>
                </c:pt>
                <c:pt idx="24">
                  <c:v>12.12</c:v>
                </c:pt>
                <c:pt idx="25">
                  <c:v>12.38</c:v>
                </c:pt>
                <c:pt idx="26">
                  <c:v>12.65</c:v>
                </c:pt>
                <c:pt idx="27">
                  <c:v>12.81</c:v>
                </c:pt>
                <c:pt idx="28">
                  <c:v>13.14</c:v>
                </c:pt>
                <c:pt idx="29">
                  <c:v>13.36</c:v>
                </c:pt>
                <c:pt idx="30">
                  <c:v>13.59</c:v>
                </c:pt>
                <c:pt idx="31">
                  <c:v>13.71</c:v>
                </c:pt>
                <c:pt idx="32">
                  <c:v>13.94</c:v>
                </c:pt>
                <c:pt idx="33">
                  <c:v>14.16</c:v>
                </c:pt>
                <c:pt idx="34">
                  <c:v>14.3</c:v>
                </c:pt>
                <c:pt idx="35">
                  <c:v>14.53</c:v>
                </c:pt>
                <c:pt idx="36">
                  <c:v>14.67</c:v>
                </c:pt>
                <c:pt idx="37">
                  <c:v>14.91</c:v>
                </c:pt>
                <c:pt idx="38">
                  <c:v>15.04</c:v>
                </c:pt>
                <c:pt idx="39">
                  <c:v>15.28</c:v>
                </c:pt>
                <c:pt idx="40">
                  <c:v>15.48</c:v>
                </c:pt>
                <c:pt idx="41">
                  <c:v>15.58</c:v>
                </c:pt>
                <c:pt idx="42">
                  <c:v>15.78</c:v>
                </c:pt>
                <c:pt idx="43">
                  <c:v>15.97</c:v>
                </c:pt>
                <c:pt idx="44">
                  <c:v>16.07</c:v>
                </c:pt>
                <c:pt idx="45">
                  <c:v>16.27</c:v>
                </c:pt>
                <c:pt idx="46">
                  <c:v>16.58</c:v>
                </c:pt>
                <c:pt idx="47">
                  <c:v>16.9</c:v>
                </c:pt>
                <c:pt idx="48">
                  <c:v>17.21</c:v>
                </c:pt>
                <c:pt idx="49">
                  <c:v>17.52</c:v>
                </c:pt>
                <c:pt idx="50">
                  <c:v>17.84</c:v>
                </c:pt>
                <c:pt idx="51">
                  <c:v>18.15</c:v>
                </c:pt>
                <c:pt idx="52">
                  <c:v>18.2</c:v>
                </c:pt>
                <c:pt idx="53">
                  <c:v>18.34</c:v>
                </c:pt>
                <c:pt idx="54">
                  <c:v>18.49</c:v>
                </c:pt>
                <c:pt idx="55">
                  <c:v>18.54</c:v>
                </c:pt>
                <c:pt idx="56">
                  <c:v>18.68</c:v>
                </c:pt>
                <c:pt idx="57">
                  <c:v>18.83</c:v>
                </c:pt>
                <c:pt idx="58">
                  <c:v>19.12</c:v>
                </c:pt>
                <c:pt idx="59">
                  <c:v>19.42</c:v>
                </c:pt>
                <c:pt idx="60">
                  <c:v>19.71</c:v>
                </c:pt>
                <c:pt idx="61">
                  <c:v>20.0</c:v>
                </c:pt>
                <c:pt idx="62">
                  <c:v>20.3</c:v>
                </c:pt>
                <c:pt idx="63">
                  <c:v>20.59</c:v>
                </c:pt>
                <c:pt idx="64">
                  <c:v>20.72</c:v>
                </c:pt>
                <c:pt idx="65">
                  <c:v>20.84</c:v>
                </c:pt>
                <c:pt idx="66">
                  <c:v>21.07</c:v>
                </c:pt>
                <c:pt idx="67">
                  <c:v>21.2</c:v>
                </c:pt>
                <c:pt idx="68">
                  <c:v>21.32</c:v>
                </c:pt>
                <c:pt idx="69">
                  <c:v>21.45</c:v>
                </c:pt>
                <c:pt idx="70">
                  <c:v>21.84</c:v>
                </c:pt>
                <c:pt idx="71">
                  <c:v>22.23</c:v>
                </c:pt>
                <c:pt idx="72">
                  <c:v>22.62</c:v>
                </c:pt>
                <c:pt idx="73">
                  <c:v>23.01</c:v>
                </c:pt>
                <c:pt idx="74">
                  <c:v>23.39</c:v>
                </c:pt>
                <c:pt idx="75">
                  <c:v>23.68</c:v>
                </c:pt>
                <c:pt idx="76">
                  <c:v>24.07</c:v>
                </c:pt>
                <c:pt idx="77">
                  <c:v>24.46</c:v>
                </c:pt>
                <c:pt idx="78">
                  <c:v>24.85</c:v>
                </c:pt>
                <c:pt idx="79">
                  <c:v>25.11</c:v>
                </c:pt>
                <c:pt idx="80">
                  <c:v>25.36</c:v>
                </c:pt>
                <c:pt idx="81">
                  <c:v>25.62</c:v>
                </c:pt>
                <c:pt idx="82">
                  <c:v>25.87</c:v>
                </c:pt>
                <c:pt idx="83">
                  <c:v>26.13</c:v>
                </c:pt>
                <c:pt idx="84">
                  <c:v>26.39</c:v>
                </c:pt>
                <c:pt idx="85">
                  <c:v>26.74</c:v>
                </c:pt>
                <c:pt idx="86">
                  <c:v>27.0</c:v>
                </c:pt>
                <c:pt idx="87">
                  <c:v>27.25</c:v>
                </c:pt>
                <c:pt idx="88">
                  <c:v>27.51</c:v>
                </c:pt>
                <c:pt idx="89">
                  <c:v>27.76</c:v>
                </c:pt>
                <c:pt idx="90">
                  <c:v>28.02</c:v>
                </c:pt>
                <c:pt idx="91">
                  <c:v>28.41</c:v>
                </c:pt>
                <c:pt idx="92">
                  <c:v>28.69</c:v>
                </c:pt>
                <c:pt idx="93">
                  <c:v>29.08</c:v>
                </c:pt>
                <c:pt idx="94">
                  <c:v>29.47</c:v>
                </c:pt>
                <c:pt idx="95">
                  <c:v>29.75</c:v>
                </c:pt>
                <c:pt idx="96">
                  <c:v>30.14</c:v>
                </c:pt>
                <c:pt idx="97">
                  <c:v>30.53</c:v>
                </c:pt>
                <c:pt idx="98">
                  <c:v>30.81</c:v>
                </c:pt>
                <c:pt idx="99">
                  <c:v>31.2</c:v>
                </c:pt>
                <c:pt idx="100">
                  <c:v>31.59</c:v>
                </c:pt>
                <c:pt idx="101">
                  <c:v>31.87</c:v>
                </c:pt>
                <c:pt idx="102">
                  <c:v>32.26</c:v>
                </c:pt>
                <c:pt idx="103">
                  <c:v>32.66</c:v>
                </c:pt>
                <c:pt idx="104">
                  <c:v>33.05</c:v>
                </c:pt>
                <c:pt idx="105">
                  <c:v>33.45</c:v>
                </c:pt>
                <c:pt idx="106">
                  <c:v>33.84</c:v>
                </c:pt>
                <c:pt idx="107">
                  <c:v>34.24</c:v>
                </c:pt>
                <c:pt idx="108">
                  <c:v>34.74</c:v>
                </c:pt>
                <c:pt idx="109">
                  <c:v>35.13</c:v>
                </c:pt>
                <c:pt idx="110">
                  <c:v>35.53</c:v>
                </c:pt>
                <c:pt idx="111">
                  <c:v>35.92</c:v>
                </c:pt>
                <c:pt idx="112">
                  <c:v>36.32</c:v>
                </c:pt>
                <c:pt idx="113">
                  <c:v>36.71</c:v>
                </c:pt>
                <c:pt idx="114">
                  <c:v>37.11</c:v>
                </c:pt>
                <c:pt idx="115">
                  <c:v>37.6</c:v>
                </c:pt>
                <c:pt idx="116">
                  <c:v>37.99</c:v>
                </c:pt>
                <c:pt idx="117">
                  <c:v>38.49</c:v>
                </c:pt>
                <c:pt idx="118">
                  <c:v>38.88</c:v>
                </c:pt>
                <c:pt idx="119">
                  <c:v>39.37</c:v>
                </c:pt>
                <c:pt idx="120">
                  <c:v>39.76</c:v>
                </c:pt>
                <c:pt idx="121">
                  <c:v>40.25</c:v>
                </c:pt>
                <c:pt idx="122">
                  <c:v>40.64</c:v>
                </c:pt>
                <c:pt idx="123">
                  <c:v>41.14</c:v>
                </c:pt>
                <c:pt idx="124">
                  <c:v>41.53</c:v>
                </c:pt>
                <c:pt idx="125">
                  <c:v>42.02</c:v>
                </c:pt>
                <c:pt idx="126">
                  <c:v>42.41</c:v>
                </c:pt>
                <c:pt idx="127">
                  <c:v>42.88</c:v>
                </c:pt>
                <c:pt idx="128">
                  <c:v>43.45</c:v>
                </c:pt>
                <c:pt idx="129">
                  <c:v>43.92</c:v>
                </c:pt>
                <c:pt idx="130">
                  <c:v>44.39</c:v>
                </c:pt>
                <c:pt idx="131">
                  <c:v>44.96</c:v>
                </c:pt>
                <c:pt idx="132">
                  <c:v>45.43</c:v>
                </c:pt>
                <c:pt idx="133">
                  <c:v>45.9</c:v>
                </c:pt>
                <c:pt idx="134">
                  <c:v>46.47</c:v>
                </c:pt>
                <c:pt idx="135">
                  <c:v>46.94</c:v>
                </c:pt>
                <c:pt idx="136">
                  <c:v>47.41</c:v>
                </c:pt>
                <c:pt idx="137">
                  <c:v>47.98</c:v>
                </c:pt>
                <c:pt idx="138">
                  <c:v>48.45</c:v>
                </c:pt>
                <c:pt idx="139">
                  <c:v>48.87</c:v>
                </c:pt>
                <c:pt idx="140">
                  <c:v>49.29</c:v>
                </c:pt>
                <c:pt idx="141">
                  <c:v>49.71</c:v>
                </c:pt>
                <c:pt idx="142">
                  <c:v>50.13</c:v>
                </c:pt>
                <c:pt idx="143">
                  <c:v>50.55</c:v>
                </c:pt>
                <c:pt idx="144">
                  <c:v>51.07</c:v>
                </c:pt>
                <c:pt idx="145">
                  <c:v>51.49</c:v>
                </c:pt>
                <c:pt idx="146">
                  <c:v>51.91</c:v>
                </c:pt>
                <c:pt idx="147">
                  <c:v>52.33</c:v>
                </c:pt>
                <c:pt idx="148">
                  <c:v>52.75</c:v>
                </c:pt>
                <c:pt idx="149">
                  <c:v>53.17</c:v>
                </c:pt>
                <c:pt idx="150">
                  <c:v>53.59</c:v>
                </c:pt>
                <c:pt idx="151">
                  <c:v>53.86</c:v>
                </c:pt>
                <c:pt idx="152">
                  <c:v>54.13</c:v>
                </c:pt>
                <c:pt idx="153">
                  <c:v>54.3</c:v>
                </c:pt>
                <c:pt idx="154">
                  <c:v>54.57</c:v>
                </c:pt>
                <c:pt idx="155">
                  <c:v>54.84</c:v>
                </c:pt>
                <c:pt idx="156">
                  <c:v>55.12</c:v>
                </c:pt>
                <c:pt idx="157">
                  <c:v>55.29</c:v>
                </c:pt>
                <c:pt idx="158">
                  <c:v>55.56</c:v>
                </c:pt>
                <c:pt idx="159">
                  <c:v>55.83</c:v>
                </c:pt>
                <c:pt idx="160">
                  <c:v>56.1</c:v>
                </c:pt>
                <c:pt idx="161">
                  <c:v>56.27</c:v>
                </c:pt>
                <c:pt idx="162">
                  <c:v>56.54</c:v>
                </c:pt>
                <c:pt idx="163">
                  <c:v>56.92</c:v>
                </c:pt>
                <c:pt idx="164">
                  <c:v>57.09</c:v>
                </c:pt>
                <c:pt idx="165">
                  <c:v>57.07</c:v>
                </c:pt>
                <c:pt idx="166">
                  <c:v>57.24</c:v>
                </c:pt>
                <c:pt idx="167">
                  <c:v>57.42</c:v>
                </c:pt>
                <c:pt idx="168">
                  <c:v>57.6</c:v>
                </c:pt>
                <c:pt idx="169">
                  <c:v>57.77</c:v>
                </c:pt>
                <c:pt idx="170">
                  <c:v>57.95</c:v>
                </c:pt>
                <c:pt idx="171">
                  <c:v>58.12</c:v>
                </c:pt>
                <c:pt idx="172">
                  <c:v>58.3</c:v>
                </c:pt>
                <c:pt idx="173">
                  <c:v>58.47</c:v>
                </c:pt>
                <c:pt idx="174">
                  <c:v>58.65000000000001</c:v>
                </c:pt>
                <c:pt idx="175">
                  <c:v>58.78</c:v>
                </c:pt>
                <c:pt idx="176">
                  <c:v>58.9</c:v>
                </c:pt>
                <c:pt idx="177">
                  <c:v>59.13</c:v>
                </c:pt>
                <c:pt idx="178">
                  <c:v>59.25</c:v>
                </c:pt>
                <c:pt idx="179">
                  <c:v>59.38</c:v>
                </c:pt>
                <c:pt idx="180">
                  <c:v>59.51</c:v>
                </c:pt>
                <c:pt idx="181">
                  <c:v>59.63</c:v>
                </c:pt>
                <c:pt idx="182">
                  <c:v>59.76</c:v>
                </c:pt>
                <c:pt idx="183">
                  <c:v>59.98</c:v>
                </c:pt>
                <c:pt idx="184">
                  <c:v>60.11</c:v>
                </c:pt>
                <c:pt idx="185">
                  <c:v>60.23</c:v>
                </c:pt>
                <c:pt idx="186">
                  <c:v>60.36</c:v>
                </c:pt>
                <c:pt idx="187">
                  <c:v>60.42</c:v>
                </c:pt>
                <c:pt idx="188">
                  <c:v>60.49</c:v>
                </c:pt>
                <c:pt idx="189">
                  <c:v>60.45</c:v>
                </c:pt>
                <c:pt idx="190">
                  <c:v>60.51</c:v>
                </c:pt>
                <c:pt idx="191">
                  <c:v>60.57</c:v>
                </c:pt>
                <c:pt idx="192">
                  <c:v>60.64</c:v>
                </c:pt>
                <c:pt idx="193">
                  <c:v>60.6</c:v>
                </c:pt>
                <c:pt idx="194">
                  <c:v>60.66</c:v>
                </c:pt>
                <c:pt idx="195">
                  <c:v>60.72</c:v>
                </c:pt>
                <c:pt idx="196">
                  <c:v>60.79</c:v>
                </c:pt>
                <c:pt idx="197">
                  <c:v>60.75</c:v>
                </c:pt>
                <c:pt idx="198">
                  <c:v>60.81</c:v>
                </c:pt>
                <c:pt idx="199">
                  <c:v>60.82</c:v>
                </c:pt>
                <c:pt idx="200">
                  <c:v>60.82</c:v>
                </c:pt>
                <c:pt idx="201">
                  <c:v>60.83</c:v>
                </c:pt>
                <c:pt idx="202">
                  <c:v>60.84</c:v>
                </c:pt>
                <c:pt idx="203">
                  <c:v>60.84</c:v>
                </c:pt>
                <c:pt idx="204">
                  <c:v>60.95</c:v>
                </c:pt>
                <c:pt idx="205">
                  <c:v>60.96</c:v>
                </c:pt>
                <c:pt idx="206">
                  <c:v>60.96</c:v>
                </c:pt>
                <c:pt idx="207">
                  <c:v>60.97</c:v>
                </c:pt>
                <c:pt idx="208">
                  <c:v>60.98</c:v>
                </c:pt>
                <c:pt idx="209">
                  <c:v>60.98</c:v>
                </c:pt>
                <c:pt idx="210">
                  <c:v>60.99</c:v>
                </c:pt>
              </c:numCache>
            </c:numRef>
          </c:yVal>
          <c:smooth val="0"/>
        </c:ser>
        <c:ser>
          <c:idx val="10"/>
          <c:order val="10"/>
          <c:tx>
            <c:strRef>
              <c:f>成長曲線_データ!$S$2</c:f>
              <c:strCache>
                <c:ptCount val="1"/>
                <c:pt idx="0">
                  <c:v>-1SD</c:v>
                </c:pt>
              </c:strCache>
            </c:strRef>
          </c:tx>
          <c:spPr>
            <a:ln w="127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成長曲線_データ!$S$4:$S$214</c:f>
              <c:numCache>
                <c:formatCode>General</c:formatCode>
                <c:ptCount val="211"/>
                <c:pt idx="0">
                  <c:v>2.6</c:v>
                </c:pt>
                <c:pt idx="1">
                  <c:v>3.59</c:v>
                </c:pt>
                <c:pt idx="2">
                  <c:v>4.6</c:v>
                </c:pt>
                <c:pt idx="3">
                  <c:v>5.34</c:v>
                </c:pt>
                <c:pt idx="4">
                  <c:v>5.85</c:v>
                </c:pt>
                <c:pt idx="5">
                  <c:v>6.17</c:v>
                </c:pt>
                <c:pt idx="6">
                  <c:v>6.71</c:v>
                </c:pt>
                <c:pt idx="7">
                  <c:v>7.0</c:v>
                </c:pt>
                <c:pt idx="8">
                  <c:v>7.12</c:v>
                </c:pt>
                <c:pt idx="9">
                  <c:v>7.299999999999999</c:v>
                </c:pt>
                <c:pt idx="10">
                  <c:v>7.63</c:v>
                </c:pt>
                <c:pt idx="11">
                  <c:v>7.689999999999999</c:v>
                </c:pt>
                <c:pt idx="12">
                  <c:v>7.74</c:v>
                </c:pt>
                <c:pt idx="13">
                  <c:v>8.1</c:v>
                </c:pt>
                <c:pt idx="14">
                  <c:v>8.26</c:v>
                </c:pt>
                <c:pt idx="15">
                  <c:v>8.34</c:v>
                </c:pt>
                <c:pt idx="16">
                  <c:v>8.57</c:v>
                </c:pt>
                <c:pt idx="17">
                  <c:v>8.71</c:v>
                </c:pt>
                <c:pt idx="18">
                  <c:v>8.87</c:v>
                </c:pt>
                <c:pt idx="19">
                  <c:v>9.129999999999998</c:v>
                </c:pt>
                <c:pt idx="20">
                  <c:v>9.32</c:v>
                </c:pt>
                <c:pt idx="21">
                  <c:v>9.36</c:v>
                </c:pt>
                <c:pt idx="22">
                  <c:v>9.51</c:v>
                </c:pt>
                <c:pt idx="23">
                  <c:v>9.77</c:v>
                </c:pt>
                <c:pt idx="24">
                  <c:v>9.879999999999998</c:v>
                </c:pt>
                <c:pt idx="25">
                  <c:v>10.02</c:v>
                </c:pt>
                <c:pt idx="26">
                  <c:v>10.15</c:v>
                </c:pt>
                <c:pt idx="27">
                  <c:v>10.19</c:v>
                </c:pt>
                <c:pt idx="28">
                  <c:v>10.46</c:v>
                </c:pt>
                <c:pt idx="29">
                  <c:v>10.64</c:v>
                </c:pt>
                <c:pt idx="30">
                  <c:v>10.81</c:v>
                </c:pt>
                <c:pt idx="31">
                  <c:v>10.89</c:v>
                </c:pt>
                <c:pt idx="32">
                  <c:v>11.06</c:v>
                </c:pt>
                <c:pt idx="33">
                  <c:v>11.24</c:v>
                </c:pt>
                <c:pt idx="34">
                  <c:v>11.3</c:v>
                </c:pt>
                <c:pt idx="35">
                  <c:v>11.47</c:v>
                </c:pt>
                <c:pt idx="36">
                  <c:v>11.53</c:v>
                </c:pt>
                <c:pt idx="37">
                  <c:v>11.69</c:v>
                </c:pt>
                <c:pt idx="38">
                  <c:v>11.76</c:v>
                </c:pt>
                <c:pt idx="39">
                  <c:v>11.92</c:v>
                </c:pt>
                <c:pt idx="40">
                  <c:v>12.12</c:v>
                </c:pt>
                <c:pt idx="41">
                  <c:v>12.22</c:v>
                </c:pt>
                <c:pt idx="42">
                  <c:v>12.42</c:v>
                </c:pt>
                <c:pt idx="43">
                  <c:v>12.63</c:v>
                </c:pt>
                <c:pt idx="44">
                  <c:v>12.73</c:v>
                </c:pt>
                <c:pt idx="45">
                  <c:v>12.93</c:v>
                </c:pt>
                <c:pt idx="46">
                  <c:v>13.02</c:v>
                </c:pt>
                <c:pt idx="47">
                  <c:v>13.1</c:v>
                </c:pt>
                <c:pt idx="48">
                  <c:v>13.19</c:v>
                </c:pt>
                <c:pt idx="49">
                  <c:v>13.28</c:v>
                </c:pt>
                <c:pt idx="50">
                  <c:v>13.36</c:v>
                </c:pt>
                <c:pt idx="51">
                  <c:v>13.45</c:v>
                </c:pt>
                <c:pt idx="52">
                  <c:v>13.6</c:v>
                </c:pt>
                <c:pt idx="53">
                  <c:v>13.86</c:v>
                </c:pt>
                <c:pt idx="54">
                  <c:v>14.11</c:v>
                </c:pt>
                <c:pt idx="55">
                  <c:v>14.26</c:v>
                </c:pt>
                <c:pt idx="56">
                  <c:v>14.52</c:v>
                </c:pt>
                <c:pt idx="57">
                  <c:v>14.77</c:v>
                </c:pt>
                <c:pt idx="58">
                  <c:v>14.88</c:v>
                </c:pt>
                <c:pt idx="59">
                  <c:v>14.98</c:v>
                </c:pt>
                <c:pt idx="60">
                  <c:v>15.09</c:v>
                </c:pt>
                <c:pt idx="61">
                  <c:v>15.2</c:v>
                </c:pt>
                <c:pt idx="62">
                  <c:v>15.3</c:v>
                </c:pt>
                <c:pt idx="63">
                  <c:v>15.41</c:v>
                </c:pt>
                <c:pt idx="64">
                  <c:v>15.48</c:v>
                </c:pt>
                <c:pt idx="65">
                  <c:v>15.56</c:v>
                </c:pt>
                <c:pt idx="66">
                  <c:v>15.73</c:v>
                </c:pt>
                <c:pt idx="67">
                  <c:v>15.8</c:v>
                </c:pt>
                <c:pt idx="68">
                  <c:v>15.88</c:v>
                </c:pt>
                <c:pt idx="69">
                  <c:v>15.95</c:v>
                </c:pt>
                <c:pt idx="70">
                  <c:v>16.16</c:v>
                </c:pt>
                <c:pt idx="71">
                  <c:v>16.37</c:v>
                </c:pt>
                <c:pt idx="72">
                  <c:v>16.58</c:v>
                </c:pt>
                <c:pt idx="73">
                  <c:v>16.79</c:v>
                </c:pt>
                <c:pt idx="74">
                  <c:v>17.01</c:v>
                </c:pt>
                <c:pt idx="75">
                  <c:v>17.12</c:v>
                </c:pt>
                <c:pt idx="76">
                  <c:v>17.33</c:v>
                </c:pt>
                <c:pt idx="77">
                  <c:v>17.54</c:v>
                </c:pt>
                <c:pt idx="78">
                  <c:v>17.75</c:v>
                </c:pt>
                <c:pt idx="79">
                  <c:v>17.89</c:v>
                </c:pt>
                <c:pt idx="80">
                  <c:v>18.04</c:v>
                </c:pt>
                <c:pt idx="81">
                  <c:v>18.18</c:v>
                </c:pt>
                <c:pt idx="82">
                  <c:v>18.33</c:v>
                </c:pt>
                <c:pt idx="83">
                  <c:v>18.47</c:v>
                </c:pt>
                <c:pt idx="84">
                  <c:v>18.61</c:v>
                </c:pt>
                <c:pt idx="85">
                  <c:v>18.86</c:v>
                </c:pt>
                <c:pt idx="86">
                  <c:v>19.0</c:v>
                </c:pt>
                <c:pt idx="87">
                  <c:v>19.15</c:v>
                </c:pt>
                <c:pt idx="88">
                  <c:v>19.29</c:v>
                </c:pt>
                <c:pt idx="89">
                  <c:v>19.44</c:v>
                </c:pt>
                <c:pt idx="90">
                  <c:v>19.58</c:v>
                </c:pt>
                <c:pt idx="91">
                  <c:v>19.79</c:v>
                </c:pt>
                <c:pt idx="92">
                  <c:v>19.91</c:v>
                </c:pt>
                <c:pt idx="93">
                  <c:v>20.12</c:v>
                </c:pt>
                <c:pt idx="94">
                  <c:v>20.33</c:v>
                </c:pt>
                <c:pt idx="95">
                  <c:v>20.45</c:v>
                </c:pt>
                <c:pt idx="96">
                  <c:v>20.66</c:v>
                </c:pt>
                <c:pt idx="97">
                  <c:v>20.87</c:v>
                </c:pt>
                <c:pt idx="98">
                  <c:v>20.99</c:v>
                </c:pt>
                <c:pt idx="99">
                  <c:v>21.2</c:v>
                </c:pt>
                <c:pt idx="100">
                  <c:v>21.41</c:v>
                </c:pt>
                <c:pt idx="101">
                  <c:v>21.53</c:v>
                </c:pt>
                <c:pt idx="102">
                  <c:v>21.74</c:v>
                </c:pt>
                <c:pt idx="103">
                  <c:v>21.94</c:v>
                </c:pt>
                <c:pt idx="104">
                  <c:v>22.15</c:v>
                </c:pt>
                <c:pt idx="105">
                  <c:v>22.35</c:v>
                </c:pt>
                <c:pt idx="106">
                  <c:v>22.56</c:v>
                </c:pt>
                <c:pt idx="107">
                  <c:v>22.76</c:v>
                </c:pt>
                <c:pt idx="108">
                  <c:v>23.06</c:v>
                </c:pt>
                <c:pt idx="109">
                  <c:v>23.27</c:v>
                </c:pt>
                <c:pt idx="110">
                  <c:v>23.47</c:v>
                </c:pt>
                <c:pt idx="111">
                  <c:v>23.68</c:v>
                </c:pt>
                <c:pt idx="112">
                  <c:v>23.88</c:v>
                </c:pt>
                <c:pt idx="113">
                  <c:v>24.09</c:v>
                </c:pt>
                <c:pt idx="114">
                  <c:v>24.29</c:v>
                </c:pt>
                <c:pt idx="115">
                  <c:v>24.6</c:v>
                </c:pt>
                <c:pt idx="116">
                  <c:v>24.81</c:v>
                </c:pt>
                <c:pt idx="117">
                  <c:v>25.11</c:v>
                </c:pt>
                <c:pt idx="118">
                  <c:v>25.32</c:v>
                </c:pt>
                <c:pt idx="119">
                  <c:v>25.63</c:v>
                </c:pt>
                <c:pt idx="120">
                  <c:v>25.84</c:v>
                </c:pt>
                <c:pt idx="121">
                  <c:v>26.15</c:v>
                </c:pt>
                <c:pt idx="122">
                  <c:v>26.36</c:v>
                </c:pt>
                <c:pt idx="123">
                  <c:v>26.66</c:v>
                </c:pt>
                <c:pt idx="124">
                  <c:v>26.87</c:v>
                </c:pt>
                <c:pt idx="125">
                  <c:v>27.18</c:v>
                </c:pt>
                <c:pt idx="126">
                  <c:v>27.39</c:v>
                </c:pt>
                <c:pt idx="127">
                  <c:v>27.72</c:v>
                </c:pt>
                <c:pt idx="128">
                  <c:v>28.15</c:v>
                </c:pt>
                <c:pt idx="129">
                  <c:v>28.48</c:v>
                </c:pt>
                <c:pt idx="130">
                  <c:v>28.81</c:v>
                </c:pt>
                <c:pt idx="131">
                  <c:v>29.24</c:v>
                </c:pt>
                <c:pt idx="132">
                  <c:v>29.57</c:v>
                </c:pt>
                <c:pt idx="133">
                  <c:v>29.9</c:v>
                </c:pt>
                <c:pt idx="134">
                  <c:v>30.33</c:v>
                </c:pt>
                <c:pt idx="135">
                  <c:v>30.66</c:v>
                </c:pt>
                <c:pt idx="136">
                  <c:v>30.99</c:v>
                </c:pt>
                <c:pt idx="137">
                  <c:v>31.42</c:v>
                </c:pt>
                <c:pt idx="138">
                  <c:v>31.75</c:v>
                </c:pt>
                <c:pt idx="139">
                  <c:v>32.13</c:v>
                </c:pt>
                <c:pt idx="140">
                  <c:v>32.51</c:v>
                </c:pt>
                <c:pt idx="141">
                  <c:v>32.89</c:v>
                </c:pt>
                <c:pt idx="142">
                  <c:v>33.27</c:v>
                </c:pt>
                <c:pt idx="143">
                  <c:v>33.65000000000001</c:v>
                </c:pt>
                <c:pt idx="144">
                  <c:v>34.13</c:v>
                </c:pt>
                <c:pt idx="145">
                  <c:v>34.51</c:v>
                </c:pt>
                <c:pt idx="146">
                  <c:v>34.89</c:v>
                </c:pt>
                <c:pt idx="147">
                  <c:v>35.27</c:v>
                </c:pt>
                <c:pt idx="148">
                  <c:v>35.65000000000001</c:v>
                </c:pt>
                <c:pt idx="149">
                  <c:v>36.03</c:v>
                </c:pt>
                <c:pt idx="150">
                  <c:v>36.41</c:v>
                </c:pt>
                <c:pt idx="151">
                  <c:v>36.74</c:v>
                </c:pt>
                <c:pt idx="152">
                  <c:v>37.07</c:v>
                </c:pt>
                <c:pt idx="153">
                  <c:v>37.3</c:v>
                </c:pt>
                <c:pt idx="154">
                  <c:v>37.63</c:v>
                </c:pt>
                <c:pt idx="155">
                  <c:v>37.96</c:v>
                </c:pt>
                <c:pt idx="156">
                  <c:v>38.28</c:v>
                </c:pt>
                <c:pt idx="157">
                  <c:v>38.51</c:v>
                </c:pt>
                <c:pt idx="158">
                  <c:v>38.84</c:v>
                </c:pt>
                <c:pt idx="159">
                  <c:v>39.17</c:v>
                </c:pt>
                <c:pt idx="160">
                  <c:v>39.5</c:v>
                </c:pt>
                <c:pt idx="161">
                  <c:v>39.73</c:v>
                </c:pt>
                <c:pt idx="162">
                  <c:v>40.06</c:v>
                </c:pt>
                <c:pt idx="163">
                  <c:v>40.48</c:v>
                </c:pt>
                <c:pt idx="164">
                  <c:v>40.71</c:v>
                </c:pt>
                <c:pt idx="165">
                  <c:v>40.73</c:v>
                </c:pt>
                <c:pt idx="166">
                  <c:v>40.96</c:v>
                </c:pt>
                <c:pt idx="167">
                  <c:v>41.18</c:v>
                </c:pt>
                <c:pt idx="168">
                  <c:v>41.4</c:v>
                </c:pt>
                <c:pt idx="169">
                  <c:v>41.63</c:v>
                </c:pt>
                <c:pt idx="170">
                  <c:v>41.85</c:v>
                </c:pt>
                <c:pt idx="171">
                  <c:v>42.08</c:v>
                </c:pt>
                <c:pt idx="172">
                  <c:v>42.3</c:v>
                </c:pt>
                <c:pt idx="173">
                  <c:v>42.53</c:v>
                </c:pt>
                <c:pt idx="174">
                  <c:v>42.75</c:v>
                </c:pt>
                <c:pt idx="175">
                  <c:v>42.82</c:v>
                </c:pt>
                <c:pt idx="176">
                  <c:v>42.9</c:v>
                </c:pt>
                <c:pt idx="177">
                  <c:v>43.07</c:v>
                </c:pt>
                <c:pt idx="178">
                  <c:v>43.15000000000001</c:v>
                </c:pt>
                <c:pt idx="179">
                  <c:v>43.22</c:v>
                </c:pt>
                <c:pt idx="180">
                  <c:v>43.29</c:v>
                </c:pt>
                <c:pt idx="181">
                  <c:v>43.37</c:v>
                </c:pt>
                <c:pt idx="182">
                  <c:v>43.44</c:v>
                </c:pt>
                <c:pt idx="183">
                  <c:v>43.62</c:v>
                </c:pt>
                <c:pt idx="184">
                  <c:v>43.69</c:v>
                </c:pt>
                <c:pt idx="185">
                  <c:v>43.77</c:v>
                </c:pt>
                <c:pt idx="186">
                  <c:v>43.84</c:v>
                </c:pt>
                <c:pt idx="187">
                  <c:v>43.98</c:v>
                </c:pt>
                <c:pt idx="188">
                  <c:v>44.11</c:v>
                </c:pt>
                <c:pt idx="189">
                  <c:v>44.15</c:v>
                </c:pt>
                <c:pt idx="190">
                  <c:v>44.29</c:v>
                </c:pt>
                <c:pt idx="191">
                  <c:v>44.43</c:v>
                </c:pt>
                <c:pt idx="192">
                  <c:v>44.56</c:v>
                </c:pt>
                <c:pt idx="193">
                  <c:v>44.6</c:v>
                </c:pt>
                <c:pt idx="194">
                  <c:v>44.74</c:v>
                </c:pt>
                <c:pt idx="195">
                  <c:v>44.88</c:v>
                </c:pt>
                <c:pt idx="196">
                  <c:v>45.01</c:v>
                </c:pt>
                <c:pt idx="197">
                  <c:v>45.05</c:v>
                </c:pt>
                <c:pt idx="198">
                  <c:v>45.19</c:v>
                </c:pt>
                <c:pt idx="199">
                  <c:v>45.18</c:v>
                </c:pt>
                <c:pt idx="200">
                  <c:v>45.18</c:v>
                </c:pt>
                <c:pt idx="201">
                  <c:v>45.17</c:v>
                </c:pt>
                <c:pt idx="202">
                  <c:v>45.16</c:v>
                </c:pt>
                <c:pt idx="203">
                  <c:v>45.16</c:v>
                </c:pt>
                <c:pt idx="204">
                  <c:v>45.25</c:v>
                </c:pt>
                <c:pt idx="205">
                  <c:v>45.24</c:v>
                </c:pt>
                <c:pt idx="206">
                  <c:v>45.24</c:v>
                </c:pt>
                <c:pt idx="207">
                  <c:v>45.23</c:v>
                </c:pt>
                <c:pt idx="208">
                  <c:v>45.22</c:v>
                </c:pt>
                <c:pt idx="209">
                  <c:v>45.22</c:v>
                </c:pt>
                <c:pt idx="210">
                  <c:v>45.21</c:v>
                </c:pt>
              </c:numCache>
            </c:numRef>
          </c:yVal>
          <c:smooth val="0"/>
        </c:ser>
        <c:ser>
          <c:idx val="11"/>
          <c:order val="11"/>
          <c:tx>
            <c:strRef>
              <c:f>成長曲線_データ!$T$2</c:f>
              <c:strCache>
                <c:ptCount val="1"/>
                <c:pt idx="0">
                  <c:v>-2SD</c:v>
                </c:pt>
              </c:strCache>
            </c:strRef>
          </c:tx>
          <c:spPr>
            <a:ln w="127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成長曲線_データ!$T$4:$T$214</c:f>
              <c:numCache>
                <c:formatCode>General</c:formatCode>
                <c:ptCount val="211"/>
                <c:pt idx="0">
                  <c:v>2.2</c:v>
                </c:pt>
                <c:pt idx="1">
                  <c:v>3.08</c:v>
                </c:pt>
                <c:pt idx="2">
                  <c:v>4.0</c:v>
                </c:pt>
                <c:pt idx="3">
                  <c:v>4.68</c:v>
                </c:pt>
                <c:pt idx="4">
                  <c:v>5.1</c:v>
                </c:pt>
                <c:pt idx="5">
                  <c:v>5.34</c:v>
                </c:pt>
                <c:pt idx="6">
                  <c:v>5.92</c:v>
                </c:pt>
                <c:pt idx="7">
                  <c:v>6.199999999999999</c:v>
                </c:pt>
                <c:pt idx="8">
                  <c:v>6.24</c:v>
                </c:pt>
                <c:pt idx="9">
                  <c:v>6.399999999999999</c:v>
                </c:pt>
                <c:pt idx="10">
                  <c:v>6.76</c:v>
                </c:pt>
                <c:pt idx="11">
                  <c:v>6.78</c:v>
                </c:pt>
                <c:pt idx="12">
                  <c:v>6.78</c:v>
                </c:pt>
                <c:pt idx="13">
                  <c:v>7.2</c:v>
                </c:pt>
                <c:pt idx="14">
                  <c:v>7.319999999999999</c:v>
                </c:pt>
                <c:pt idx="15">
                  <c:v>7.380000000000001</c:v>
                </c:pt>
                <c:pt idx="16">
                  <c:v>7.64</c:v>
                </c:pt>
                <c:pt idx="17">
                  <c:v>7.719999999999999</c:v>
                </c:pt>
                <c:pt idx="18">
                  <c:v>7.84</c:v>
                </c:pt>
                <c:pt idx="19">
                  <c:v>8.059999999999998</c:v>
                </c:pt>
                <c:pt idx="20">
                  <c:v>8.24</c:v>
                </c:pt>
                <c:pt idx="21">
                  <c:v>8.32</c:v>
                </c:pt>
                <c:pt idx="22">
                  <c:v>8.32</c:v>
                </c:pt>
                <c:pt idx="23">
                  <c:v>8.54</c:v>
                </c:pt>
                <c:pt idx="24">
                  <c:v>8.76</c:v>
                </c:pt>
                <c:pt idx="25">
                  <c:v>8.84</c:v>
                </c:pt>
                <c:pt idx="26">
                  <c:v>8.9</c:v>
                </c:pt>
                <c:pt idx="27">
                  <c:v>8.879999999999998</c:v>
                </c:pt>
                <c:pt idx="28">
                  <c:v>9.120000000000001</c:v>
                </c:pt>
                <c:pt idx="29">
                  <c:v>9.28</c:v>
                </c:pt>
                <c:pt idx="30">
                  <c:v>9.42</c:v>
                </c:pt>
                <c:pt idx="31">
                  <c:v>9.48</c:v>
                </c:pt>
                <c:pt idx="32">
                  <c:v>9.620000000000001</c:v>
                </c:pt>
                <c:pt idx="33">
                  <c:v>9.78</c:v>
                </c:pt>
                <c:pt idx="34">
                  <c:v>9.8</c:v>
                </c:pt>
                <c:pt idx="35">
                  <c:v>9.94</c:v>
                </c:pt>
                <c:pt idx="36">
                  <c:v>9.96</c:v>
                </c:pt>
                <c:pt idx="37">
                  <c:v>10.08</c:v>
                </c:pt>
                <c:pt idx="38">
                  <c:v>10.12</c:v>
                </c:pt>
                <c:pt idx="39">
                  <c:v>10.24</c:v>
                </c:pt>
                <c:pt idx="40">
                  <c:v>10.44</c:v>
                </c:pt>
                <c:pt idx="41">
                  <c:v>10.54</c:v>
                </c:pt>
                <c:pt idx="42">
                  <c:v>10.74</c:v>
                </c:pt>
                <c:pt idx="43">
                  <c:v>10.96</c:v>
                </c:pt>
                <c:pt idx="44">
                  <c:v>11.06</c:v>
                </c:pt>
                <c:pt idx="45">
                  <c:v>11.26</c:v>
                </c:pt>
                <c:pt idx="46">
                  <c:v>11.24</c:v>
                </c:pt>
                <c:pt idx="47">
                  <c:v>11.2</c:v>
                </c:pt>
                <c:pt idx="48">
                  <c:v>11.18</c:v>
                </c:pt>
                <c:pt idx="49">
                  <c:v>11.16</c:v>
                </c:pt>
                <c:pt idx="50">
                  <c:v>11.12</c:v>
                </c:pt>
                <c:pt idx="51">
                  <c:v>11.1</c:v>
                </c:pt>
                <c:pt idx="52">
                  <c:v>11.3</c:v>
                </c:pt>
                <c:pt idx="53">
                  <c:v>11.62</c:v>
                </c:pt>
                <c:pt idx="54">
                  <c:v>11.92</c:v>
                </c:pt>
                <c:pt idx="55">
                  <c:v>12.12</c:v>
                </c:pt>
                <c:pt idx="56">
                  <c:v>12.44</c:v>
                </c:pt>
                <c:pt idx="57">
                  <c:v>12.74</c:v>
                </c:pt>
                <c:pt idx="58">
                  <c:v>12.76</c:v>
                </c:pt>
                <c:pt idx="59">
                  <c:v>12.76</c:v>
                </c:pt>
                <c:pt idx="60">
                  <c:v>12.78</c:v>
                </c:pt>
                <c:pt idx="61">
                  <c:v>12.8</c:v>
                </c:pt>
                <c:pt idx="62">
                  <c:v>12.8</c:v>
                </c:pt>
                <c:pt idx="63">
                  <c:v>12.82</c:v>
                </c:pt>
                <c:pt idx="64">
                  <c:v>12.86</c:v>
                </c:pt>
                <c:pt idx="65">
                  <c:v>12.92</c:v>
                </c:pt>
                <c:pt idx="66">
                  <c:v>13.06</c:v>
                </c:pt>
                <c:pt idx="67">
                  <c:v>13.1</c:v>
                </c:pt>
                <c:pt idx="68">
                  <c:v>13.16</c:v>
                </c:pt>
                <c:pt idx="69">
                  <c:v>13.2</c:v>
                </c:pt>
                <c:pt idx="70">
                  <c:v>13.32</c:v>
                </c:pt>
                <c:pt idx="71">
                  <c:v>13.44</c:v>
                </c:pt>
                <c:pt idx="72">
                  <c:v>13.56</c:v>
                </c:pt>
                <c:pt idx="73">
                  <c:v>13.68</c:v>
                </c:pt>
                <c:pt idx="74">
                  <c:v>13.82</c:v>
                </c:pt>
                <c:pt idx="75">
                  <c:v>13.84</c:v>
                </c:pt>
                <c:pt idx="76">
                  <c:v>13.96</c:v>
                </c:pt>
                <c:pt idx="77">
                  <c:v>14.08</c:v>
                </c:pt>
                <c:pt idx="78">
                  <c:v>14.2</c:v>
                </c:pt>
                <c:pt idx="79">
                  <c:v>14.28</c:v>
                </c:pt>
                <c:pt idx="80">
                  <c:v>14.38</c:v>
                </c:pt>
                <c:pt idx="81">
                  <c:v>14.46</c:v>
                </c:pt>
                <c:pt idx="82">
                  <c:v>14.56</c:v>
                </c:pt>
                <c:pt idx="83">
                  <c:v>14.64</c:v>
                </c:pt>
                <c:pt idx="84">
                  <c:v>14.72</c:v>
                </c:pt>
                <c:pt idx="85">
                  <c:v>14.92</c:v>
                </c:pt>
                <c:pt idx="86">
                  <c:v>15.0</c:v>
                </c:pt>
                <c:pt idx="87">
                  <c:v>15.1</c:v>
                </c:pt>
                <c:pt idx="88">
                  <c:v>15.18</c:v>
                </c:pt>
                <c:pt idx="89">
                  <c:v>15.28</c:v>
                </c:pt>
                <c:pt idx="90">
                  <c:v>15.36</c:v>
                </c:pt>
                <c:pt idx="91">
                  <c:v>15.48</c:v>
                </c:pt>
                <c:pt idx="92">
                  <c:v>15.52</c:v>
                </c:pt>
                <c:pt idx="93">
                  <c:v>15.64</c:v>
                </c:pt>
                <c:pt idx="94">
                  <c:v>15.76</c:v>
                </c:pt>
                <c:pt idx="95">
                  <c:v>15.8</c:v>
                </c:pt>
                <c:pt idx="96">
                  <c:v>15.92</c:v>
                </c:pt>
                <c:pt idx="97">
                  <c:v>16.04</c:v>
                </c:pt>
                <c:pt idx="98">
                  <c:v>16.08</c:v>
                </c:pt>
                <c:pt idx="99">
                  <c:v>16.2</c:v>
                </c:pt>
                <c:pt idx="100">
                  <c:v>16.32</c:v>
                </c:pt>
                <c:pt idx="101">
                  <c:v>16.36</c:v>
                </c:pt>
                <c:pt idx="102">
                  <c:v>16.48</c:v>
                </c:pt>
                <c:pt idx="103">
                  <c:v>16.58</c:v>
                </c:pt>
                <c:pt idx="104">
                  <c:v>16.7</c:v>
                </c:pt>
                <c:pt idx="105">
                  <c:v>16.8</c:v>
                </c:pt>
                <c:pt idx="106">
                  <c:v>16.92</c:v>
                </c:pt>
                <c:pt idx="107">
                  <c:v>17.02</c:v>
                </c:pt>
                <c:pt idx="108">
                  <c:v>17.22</c:v>
                </c:pt>
                <c:pt idx="109">
                  <c:v>17.34</c:v>
                </c:pt>
                <c:pt idx="110">
                  <c:v>17.44</c:v>
                </c:pt>
                <c:pt idx="111">
                  <c:v>17.56</c:v>
                </c:pt>
                <c:pt idx="112">
                  <c:v>17.66</c:v>
                </c:pt>
                <c:pt idx="113">
                  <c:v>17.78</c:v>
                </c:pt>
                <c:pt idx="114">
                  <c:v>17.88</c:v>
                </c:pt>
                <c:pt idx="115">
                  <c:v>18.1</c:v>
                </c:pt>
                <c:pt idx="116">
                  <c:v>18.22</c:v>
                </c:pt>
                <c:pt idx="117">
                  <c:v>18.42</c:v>
                </c:pt>
                <c:pt idx="118">
                  <c:v>18.54</c:v>
                </c:pt>
                <c:pt idx="119">
                  <c:v>18.76</c:v>
                </c:pt>
                <c:pt idx="120">
                  <c:v>18.88</c:v>
                </c:pt>
                <c:pt idx="121">
                  <c:v>19.1</c:v>
                </c:pt>
                <c:pt idx="122">
                  <c:v>19.22</c:v>
                </c:pt>
                <c:pt idx="123">
                  <c:v>19.42</c:v>
                </c:pt>
                <c:pt idx="124">
                  <c:v>19.54</c:v>
                </c:pt>
                <c:pt idx="125">
                  <c:v>19.76</c:v>
                </c:pt>
                <c:pt idx="126">
                  <c:v>19.88</c:v>
                </c:pt>
                <c:pt idx="127">
                  <c:v>20.14</c:v>
                </c:pt>
                <c:pt idx="128">
                  <c:v>20.5</c:v>
                </c:pt>
                <c:pt idx="129">
                  <c:v>20.76000000000001</c:v>
                </c:pt>
                <c:pt idx="130">
                  <c:v>21.02</c:v>
                </c:pt>
                <c:pt idx="131">
                  <c:v>21.38</c:v>
                </c:pt>
                <c:pt idx="132">
                  <c:v>21.64</c:v>
                </c:pt>
                <c:pt idx="133">
                  <c:v>21.9</c:v>
                </c:pt>
                <c:pt idx="134">
                  <c:v>22.26</c:v>
                </c:pt>
                <c:pt idx="135">
                  <c:v>22.52</c:v>
                </c:pt>
                <c:pt idx="136">
                  <c:v>22.78</c:v>
                </c:pt>
                <c:pt idx="137">
                  <c:v>23.14</c:v>
                </c:pt>
                <c:pt idx="138">
                  <c:v>23.4</c:v>
                </c:pt>
                <c:pt idx="139">
                  <c:v>23.76</c:v>
                </c:pt>
                <c:pt idx="140">
                  <c:v>24.12</c:v>
                </c:pt>
                <c:pt idx="141">
                  <c:v>24.48</c:v>
                </c:pt>
                <c:pt idx="142">
                  <c:v>24.84</c:v>
                </c:pt>
                <c:pt idx="143">
                  <c:v>25.2</c:v>
                </c:pt>
                <c:pt idx="144">
                  <c:v>25.66</c:v>
                </c:pt>
                <c:pt idx="145">
                  <c:v>26.02</c:v>
                </c:pt>
                <c:pt idx="146">
                  <c:v>26.38</c:v>
                </c:pt>
                <c:pt idx="147">
                  <c:v>26.74</c:v>
                </c:pt>
                <c:pt idx="148">
                  <c:v>27.1</c:v>
                </c:pt>
                <c:pt idx="149">
                  <c:v>27.46</c:v>
                </c:pt>
                <c:pt idx="150">
                  <c:v>27.82</c:v>
                </c:pt>
                <c:pt idx="151">
                  <c:v>28.18</c:v>
                </c:pt>
                <c:pt idx="152">
                  <c:v>28.54</c:v>
                </c:pt>
                <c:pt idx="153">
                  <c:v>28.8</c:v>
                </c:pt>
                <c:pt idx="154">
                  <c:v>29.16</c:v>
                </c:pt>
                <c:pt idx="155">
                  <c:v>29.52</c:v>
                </c:pt>
                <c:pt idx="156">
                  <c:v>29.86</c:v>
                </c:pt>
                <c:pt idx="157">
                  <c:v>30.12</c:v>
                </c:pt>
                <c:pt idx="158">
                  <c:v>30.48</c:v>
                </c:pt>
                <c:pt idx="159">
                  <c:v>30.84</c:v>
                </c:pt>
                <c:pt idx="160">
                  <c:v>31.2</c:v>
                </c:pt>
                <c:pt idx="161">
                  <c:v>31.46</c:v>
                </c:pt>
                <c:pt idx="162">
                  <c:v>31.82</c:v>
                </c:pt>
                <c:pt idx="163">
                  <c:v>32.26</c:v>
                </c:pt>
                <c:pt idx="164">
                  <c:v>32.52</c:v>
                </c:pt>
                <c:pt idx="165">
                  <c:v>32.56</c:v>
                </c:pt>
                <c:pt idx="166">
                  <c:v>32.82</c:v>
                </c:pt>
                <c:pt idx="167">
                  <c:v>33.06</c:v>
                </c:pt>
                <c:pt idx="168">
                  <c:v>33.3</c:v>
                </c:pt>
                <c:pt idx="169">
                  <c:v>33.56</c:v>
                </c:pt>
                <c:pt idx="170">
                  <c:v>33.8</c:v>
                </c:pt>
                <c:pt idx="171">
                  <c:v>34.06</c:v>
                </c:pt>
                <c:pt idx="172">
                  <c:v>34.3</c:v>
                </c:pt>
                <c:pt idx="173">
                  <c:v>34.56</c:v>
                </c:pt>
                <c:pt idx="174">
                  <c:v>34.8</c:v>
                </c:pt>
                <c:pt idx="175">
                  <c:v>34.84</c:v>
                </c:pt>
                <c:pt idx="176">
                  <c:v>34.9</c:v>
                </c:pt>
                <c:pt idx="177">
                  <c:v>35.04000000000001</c:v>
                </c:pt>
                <c:pt idx="178">
                  <c:v>35.1</c:v>
                </c:pt>
                <c:pt idx="179">
                  <c:v>35.14</c:v>
                </c:pt>
                <c:pt idx="180">
                  <c:v>35.18</c:v>
                </c:pt>
                <c:pt idx="181">
                  <c:v>35.24</c:v>
                </c:pt>
                <c:pt idx="182">
                  <c:v>35.28</c:v>
                </c:pt>
                <c:pt idx="183">
                  <c:v>35.44</c:v>
                </c:pt>
                <c:pt idx="184">
                  <c:v>35.48</c:v>
                </c:pt>
                <c:pt idx="185">
                  <c:v>35.54</c:v>
                </c:pt>
                <c:pt idx="186">
                  <c:v>35.58</c:v>
                </c:pt>
                <c:pt idx="187">
                  <c:v>35.76</c:v>
                </c:pt>
                <c:pt idx="188">
                  <c:v>35.92</c:v>
                </c:pt>
                <c:pt idx="189">
                  <c:v>36.0</c:v>
                </c:pt>
                <c:pt idx="190">
                  <c:v>36.18</c:v>
                </c:pt>
                <c:pt idx="191">
                  <c:v>36.36</c:v>
                </c:pt>
                <c:pt idx="192">
                  <c:v>36.52</c:v>
                </c:pt>
                <c:pt idx="193">
                  <c:v>36.6</c:v>
                </c:pt>
                <c:pt idx="194">
                  <c:v>36.78</c:v>
                </c:pt>
                <c:pt idx="195">
                  <c:v>36.96</c:v>
                </c:pt>
                <c:pt idx="196">
                  <c:v>37.12</c:v>
                </c:pt>
                <c:pt idx="197">
                  <c:v>37.2</c:v>
                </c:pt>
                <c:pt idx="198">
                  <c:v>37.38</c:v>
                </c:pt>
                <c:pt idx="199">
                  <c:v>37.36</c:v>
                </c:pt>
                <c:pt idx="200">
                  <c:v>37.36</c:v>
                </c:pt>
                <c:pt idx="201">
                  <c:v>37.34</c:v>
                </c:pt>
                <c:pt idx="202">
                  <c:v>37.32</c:v>
                </c:pt>
                <c:pt idx="203">
                  <c:v>37.32</c:v>
                </c:pt>
                <c:pt idx="204">
                  <c:v>37.40000000000001</c:v>
                </c:pt>
                <c:pt idx="205">
                  <c:v>37.38</c:v>
                </c:pt>
                <c:pt idx="206">
                  <c:v>37.38</c:v>
                </c:pt>
                <c:pt idx="207">
                  <c:v>37.36</c:v>
                </c:pt>
                <c:pt idx="208">
                  <c:v>37.34</c:v>
                </c:pt>
                <c:pt idx="209">
                  <c:v>37.34</c:v>
                </c:pt>
                <c:pt idx="210">
                  <c:v>37.32</c:v>
                </c:pt>
              </c:numCache>
            </c:numRef>
          </c:yVal>
          <c:smooth val="0"/>
        </c:ser>
        <c:ser>
          <c:idx val="13"/>
          <c:order val="13"/>
          <c:tx>
            <c:strRef>
              <c:f>入力!$V$11</c:f>
              <c:strCache>
                <c:ptCount val="1"/>
                <c:pt idx="0">
                  <c:v> 体重</c:v>
                </c:pt>
              </c:strCache>
            </c:strRef>
          </c:tx>
          <c:spPr>
            <a:ln>
              <a:noFill/>
            </a:ln>
          </c:spPr>
          <c:marker>
            <c:symbol val="square"/>
            <c:size val="7"/>
            <c:spPr>
              <a:solidFill>
                <a:srgbClr val="0033CC"/>
              </a:solidFill>
              <a:ln w="19050">
                <a:solidFill>
                  <a:sysClr val="window" lastClr="FFFFFF"/>
                </a:solidFill>
              </a:ln>
            </c:spPr>
          </c:marker>
          <c:xVal>
            <c:numRef>
              <c:f>入力!$W$7:$W$156</c:f>
              <c:numCache>
                <c:formatCode>0.00_);[Red]\(0.00\)</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入力!$C$7:$C$156</c:f>
              <c:numCache>
                <c:formatCode>General</c:formatCode>
                <c:ptCount val="150"/>
              </c:numCache>
            </c:numRef>
          </c:yVal>
          <c:smooth val="0"/>
        </c:ser>
        <c:dLbls>
          <c:showLegendKey val="0"/>
          <c:showVal val="0"/>
          <c:showCatName val="0"/>
          <c:showSerName val="0"/>
          <c:showPercent val="0"/>
          <c:showBubbleSize val="0"/>
        </c:dLbls>
        <c:axId val="-937930704"/>
        <c:axId val="-948072688"/>
      </c:scatterChart>
      <c:valAx>
        <c:axId val="-959216704"/>
        <c:scaling>
          <c:orientation val="minMax"/>
          <c:max val="6.0"/>
        </c:scaling>
        <c:delete val="0"/>
        <c:axPos val="b"/>
        <c:majorGridlines/>
        <c:title>
          <c:tx>
            <c:rich>
              <a:bodyPr/>
              <a:lstStyle/>
              <a:p>
                <a:pPr>
                  <a:defRPr/>
                </a:pPr>
                <a:r>
                  <a:rPr lang="ja-JP" altLang="en-US"/>
                  <a:t>年齢</a:t>
                </a:r>
                <a:r>
                  <a:rPr lang="en-US" altLang="ja-JP"/>
                  <a:t>(</a:t>
                </a:r>
                <a:r>
                  <a:rPr lang="ja-JP" altLang="en-US"/>
                  <a:t>年</a:t>
                </a:r>
                <a:r>
                  <a:rPr lang="en-US" altLang="ja-JP"/>
                  <a:t>)</a:t>
                </a:r>
                <a:endParaRPr lang="ja-JP" altLang="en-US"/>
              </a:p>
            </c:rich>
          </c:tx>
          <c:overlay val="0"/>
        </c:title>
        <c:numFmt formatCode="General" sourceLinked="0"/>
        <c:majorTickMark val="out"/>
        <c:minorTickMark val="none"/>
        <c:tickLblPos val="nextTo"/>
        <c:crossAx val="-935346816"/>
        <c:crosses val="autoZero"/>
        <c:crossBetween val="midCat"/>
        <c:majorUnit val="1.0"/>
        <c:minorUnit val="0.1666"/>
      </c:valAx>
      <c:valAx>
        <c:axId val="-935346816"/>
        <c:scaling>
          <c:orientation val="minMax"/>
          <c:max val="140.0"/>
          <c:min val="30.0"/>
        </c:scaling>
        <c:delete val="0"/>
        <c:axPos val="l"/>
        <c:majorGridlines/>
        <c:minorGridlines/>
        <c:title>
          <c:tx>
            <c:rich>
              <a:bodyPr rot="-5400000" vert="horz"/>
              <a:lstStyle/>
              <a:p>
                <a:pPr>
                  <a:defRPr/>
                </a:pPr>
                <a:r>
                  <a:rPr lang="ja-JP" altLang="en-US"/>
                  <a:t>身長</a:t>
                </a:r>
                <a:r>
                  <a:rPr lang="en-US" altLang="ja-JP"/>
                  <a:t>(cm)</a:t>
                </a:r>
                <a:endParaRPr lang="ja-JP" altLang="en-US"/>
              </a:p>
            </c:rich>
          </c:tx>
          <c:overlay val="0"/>
        </c:title>
        <c:numFmt formatCode="General" sourceLinked="1"/>
        <c:majorTickMark val="out"/>
        <c:minorTickMark val="none"/>
        <c:tickLblPos val="nextTo"/>
        <c:crossAx val="-959216704"/>
        <c:crosses val="autoZero"/>
        <c:crossBetween val="midCat"/>
        <c:majorUnit val="10.0"/>
        <c:minorUnit val="5.0"/>
      </c:valAx>
      <c:valAx>
        <c:axId val="-948072688"/>
        <c:scaling>
          <c:orientation val="minMax"/>
          <c:max val="110.0"/>
        </c:scaling>
        <c:delete val="0"/>
        <c:axPos val="r"/>
        <c:title>
          <c:tx>
            <c:rich>
              <a:bodyPr rot="-5400000" vert="horz"/>
              <a:lstStyle/>
              <a:p>
                <a:pPr>
                  <a:defRPr/>
                </a:pPr>
                <a:r>
                  <a:rPr lang="ja-JP" altLang="en-US"/>
                  <a:t>体重</a:t>
                </a:r>
                <a:r>
                  <a:rPr lang="en-US" altLang="ja-JP"/>
                  <a:t>(kg)</a:t>
                </a:r>
                <a:endParaRPr lang="ja-JP" altLang="en-US"/>
              </a:p>
            </c:rich>
          </c:tx>
          <c:layout>
            <c:manualLayout>
              <c:xMode val="edge"/>
              <c:yMode val="edge"/>
              <c:x val="0.944718137254902"/>
              <c:y val="0.406688425925929"/>
            </c:manualLayout>
          </c:layout>
          <c:overlay val="0"/>
        </c:title>
        <c:numFmt formatCode="General" sourceLinked="1"/>
        <c:majorTickMark val="out"/>
        <c:minorTickMark val="none"/>
        <c:tickLblPos val="nextTo"/>
        <c:crossAx val="-937930704"/>
        <c:crosses val="max"/>
        <c:crossBetween val="midCat"/>
        <c:majorUnit val="10.0"/>
      </c:valAx>
      <c:valAx>
        <c:axId val="-937930704"/>
        <c:scaling>
          <c:orientation val="minMax"/>
        </c:scaling>
        <c:delete val="1"/>
        <c:axPos val="b"/>
        <c:numFmt formatCode="0.00_ " sourceLinked="1"/>
        <c:majorTickMark val="out"/>
        <c:minorTickMark val="none"/>
        <c:tickLblPos val="none"/>
        <c:crossAx val="-948072688"/>
        <c:crosses val="autoZero"/>
        <c:crossBetween val="midCat"/>
      </c:valAx>
    </c:plotArea>
    <c:legend>
      <c:legendPos val="b"/>
      <c:layout>
        <c:manualLayout>
          <c:xMode val="edge"/>
          <c:yMode val="edge"/>
          <c:x val="0.118688725490196"/>
          <c:y val="0.0713878472222222"/>
          <c:w val="0.241756535947712"/>
          <c:h val="0.321540393518519"/>
        </c:manualLayout>
      </c:layout>
      <c:overlay val="0"/>
      <c:spPr>
        <a:solidFill>
          <a:schemeClr val="bg1"/>
        </a:solidFill>
        <a:ln>
          <a:solidFill>
            <a:schemeClr val="tx1"/>
          </a:solidFill>
        </a:ln>
      </c:spPr>
    </c:legend>
    <c:plotVisOnly val="1"/>
    <c:dispBlanksAs val="span"/>
    <c:showDLblsOverMax val="0"/>
  </c:chart>
  <c:printSettings>
    <c:headerFooter/>
    <c:pageMargins b="0.750000000000009" l="0.700000000000001" r="0.700000000000001" t="0.750000000000009"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入力!$V$9</c:f>
          <c:strCache>
            <c:ptCount val="1"/>
            <c:pt idx="0">
              <c:v>縦断的標準身長・成長速度曲線 児(0-18歳)</c:v>
            </c:pt>
          </c:strCache>
        </c:strRef>
      </c:tx>
      <c:layout>
        <c:manualLayout>
          <c:xMode val="edge"/>
          <c:yMode val="edge"/>
          <c:x val="0.113412581699345"/>
          <c:y val="0.0146990740740741"/>
        </c:manualLayout>
      </c:layout>
      <c:overlay val="0"/>
      <c:spPr>
        <a:noFill/>
        <a:ln>
          <a:noFill/>
        </a:ln>
      </c:spPr>
      <c:txPr>
        <a:bodyPr/>
        <a:lstStyle/>
        <a:p>
          <a:pPr>
            <a:defRPr sz="1600" baseline="0"/>
          </a:pPr>
          <a:endParaRPr lang="ja-JP"/>
        </a:p>
      </c:txPr>
    </c:title>
    <c:autoTitleDeleted val="0"/>
    <c:plotArea>
      <c:layout>
        <c:manualLayout>
          <c:layoutTarget val="inner"/>
          <c:xMode val="edge"/>
          <c:yMode val="edge"/>
          <c:x val="0.106841503267974"/>
          <c:y val="0.0707568287037037"/>
          <c:w val="0.783866503267973"/>
          <c:h val="0.830392939814815"/>
        </c:manualLayout>
      </c:layout>
      <c:scatterChart>
        <c:scatterStyle val="lineMarker"/>
        <c:varyColors val="0"/>
        <c:ser>
          <c:idx val="0"/>
          <c:order val="0"/>
          <c:tx>
            <c:strRef>
              <c:f>成長曲線_データ!$F$2</c:f>
              <c:strCache>
                <c:ptCount val="1"/>
                <c:pt idx="0">
                  <c:v>平均身長</c:v>
                </c:pt>
              </c:strCache>
            </c:strRef>
          </c:tx>
          <c:spPr>
            <a:ln w="381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成長曲線_データ!$F$4:$F$214</c:f>
              <c:numCache>
                <c:formatCode>General</c:formatCode>
                <c:ptCount val="211"/>
                <c:pt idx="0">
                  <c:v>48.4</c:v>
                </c:pt>
                <c:pt idx="1">
                  <c:v>52.6</c:v>
                </c:pt>
                <c:pt idx="2">
                  <c:v>56.7</c:v>
                </c:pt>
                <c:pt idx="3">
                  <c:v>60.0</c:v>
                </c:pt>
                <c:pt idx="4">
                  <c:v>62.6</c:v>
                </c:pt>
                <c:pt idx="5">
                  <c:v>64.6</c:v>
                </c:pt>
                <c:pt idx="6">
                  <c:v>66.2</c:v>
                </c:pt>
                <c:pt idx="7">
                  <c:v>67.5</c:v>
                </c:pt>
                <c:pt idx="8">
                  <c:v>68.9</c:v>
                </c:pt>
                <c:pt idx="9">
                  <c:v>70.0</c:v>
                </c:pt>
                <c:pt idx="10">
                  <c:v>71.2</c:v>
                </c:pt>
                <c:pt idx="11">
                  <c:v>72.3</c:v>
                </c:pt>
                <c:pt idx="12">
                  <c:v>73.4</c:v>
                </c:pt>
                <c:pt idx="13">
                  <c:v>74.5</c:v>
                </c:pt>
                <c:pt idx="14">
                  <c:v>75.5</c:v>
                </c:pt>
                <c:pt idx="15">
                  <c:v>76.5</c:v>
                </c:pt>
                <c:pt idx="16">
                  <c:v>77.5</c:v>
                </c:pt>
                <c:pt idx="17">
                  <c:v>78.4</c:v>
                </c:pt>
                <c:pt idx="18">
                  <c:v>79.4</c:v>
                </c:pt>
                <c:pt idx="19">
                  <c:v>80.3</c:v>
                </c:pt>
                <c:pt idx="20">
                  <c:v>81.2</c:v>
                </c:pt>
                <c:pt idx="21">
                  <c:v>82.0</c:v>
                </c:pt>
                <c:pt idx="22">
                  <c:v>82.8</c:v>
                </c:pt>
                <c:pt idx="23">
                  <c:v>83.5</c:v>
                </c:pt>
                <c:pt idx="24">
                  <c:v>84.3</c:v>
                </c:pt>
                <c:pt idx="25">
                  <c:v>85.0</c:v>
                </c:pt>
                <c:pt idx="26">
                  <c:v>85.7</c:v>
                </c:pt>
                <c:pt idx="27">
                  <c:v>86.4</c:v>
                </c:pt>
                <c:pt idx="28">
                  <c:v>87.1</c:v>
                </c:pt>
                <c:pt idx="29">
                  <c:v>87.7</c:v>
                </c:pt>
                <c:pt idx="30">
                  <c:v>88.4</c:v>
                </c:pt>
                <c:pt idx="31">
                  <c:v>89.0</c:v>
                </c:pt>
                <c:pt idx="32">
                  <c:v>89.6</c:v>
                </c:pt>
                <c:pt idx="33">
                  <c:v>90.3</c:v>
                </c:pt>
                <c:pt idx="34">
                  <c:v>90.9</c:v>
                </c:pt>
                <c:pt idx="35">
                  <c:v>91.6</c:v>
                </c:pt>
                <c:pt idx="36">
                  <c:v>92.2</c:v>
                </c:pt>
                <c:pt idx="37">
                  <c:v>92.8</c:v>
                </c:pt>
                <c:pt idx="38">
                  <c:v>93.5</c:v>
                </c:pt>
                <c:pt idx="39">
                  <c:v>94.1</c:v>
                </c:pt>
                <c:pt idx="40">
                  <c:v>94.7</c:v>
                </c:pt>
                <c:pt idx="41">
                  <c:v>95.3</c:v>
                </c:pt>
                <c:pt idx="42">
                  <c:v>95.9</c:v>
                </c:pt>
                <c:pt idx="43">
                  <c:v>96.5</c:v>
                </c:pt>
                <c:pt idx="44">
                  <c:v>97.1</c:v>
                </c:pt>
                <c:pt idx="45">
                  <c:v>97.7</c:v>
                </c:pt>
                <c:pt idx="46">
                  <c:v>98.3</c:v>
                </c:pt>
                <c:pt idx="47">
                  <c:v>98.9</c:v>
                </c:pt>
                <c:pt idx="48">
                  <c:v>99.5</c:v>
                </c:pt>
                <c:pt idx="49">
                  <c:v>100.0</c:v>
                </c:pt>
                <c:pt idx="50">
                  <c:v>100.6</c:v>
                </c:pt>
                <c:pt idx="51">
                  <c:v>101.2</c:v>
                </c:pt>
                <c:pt idx="52">
                  <c:v>101.7</c:v>
                </c:pt>
                <c:pt idx="53">
                  <c:v>102.3</c:v>
                </c:pt>
                <c:pt idx="54">
                  <c:v>102.8</c:v>
                </c:pt>
                <c:pt idx="55">
                  <c:v>103.4</c:v>
                </c:pt>
                <c:pt idx="56">
                  <c:v>103.9</c:v>
                </c:pt>
                <c:pt idx="57">
                  <c:v>104.5</c:v>
                </c:pt>
                <c:pt idx="58">
                  <c:v>105.0</c:v>
                </c:pt>
                <c:pt idx="59">
                  <c:v>105.6</c:v>
                </c:pt>
                <c:pt idx="60">
                  <c:v>106.2</c:v>
                </c:pt>
                <c:pt idx="61">
                  <c:v>106.7</c:v>
                </c:pt>
                <c:pt idx="62">
                  <c:v>107.3</c:v>
                </c:pt>
                <c:pt idx="63">
                  <c:v>107.8</c:v>
                </c:pt>
                <c:pt idx="64">
                  <c:v>108.4</c:v>
                </c:pt>
                <c:pt idx="65">
                  <c:v>108.9</c:v>
                </c:pt>
                <c:pt idx="66">
                  <c:v>109.5</c:v>
                </c:pt>
                <c:pt idx="67">
                  <c:v>110.0</c:v>
                </c:pt>
                <c:pt idx="68">
                  <c:v>110.6</c:v>
                </c:pt>
                <c:pt idx="69">
                  <c:v>111.1</c:v>
                </c:pt>
                <c:pt idx="70">
                  <c:v>111.6</c:v>
                </c:pt>
                <c:pt idx="71">
                  <c:v>112.2</c:v>
                </c:pt>
                <c:pt idx="72">
                  <c:v>112.7</c:v>
                </c:pt>
                <c:pt idx="73">
                  <c:v>113.3</c:v>
                </c:pt>
                <c:pt idx="74">
                  <c:v>113.8</c:v>
                </c:pt>
                <c:pt idx="75">
                  <c:v>114.1</c:v>
                </c:pt>
                <c:pt idx="76">
                  <c:v>114.6</c:v>
                </c:pt>
                <c:pt idx="77">
                  <c:v>115.2</c:v>
                </c:pt>
                <c:pt idx="78">
                  <c:v>115.8</c:v>
                </c:pt>
                <c:pt idx="79">
                  <c:v>116.3</c:v>
                </c:pt>
                <c:pt idx="80">
                  <c:v>116.8</c:v>
                </c:pt>
                <c:pt idx="81">
                  <c:v>117.3</c:v>
                </c:pt>
                <c:pt idx="82">
                  <c:v>117.8</c:v>
                </c:pt>
                <c:pt idx="83">
                  <c:v>118.3</c:v>
                </c:pt>
                <c:pt idx="84">
                  <c:v>118.8</c:v>
                </c:pt>
                <c:pt idx="85">
                  <c:v>119.2</c:v>
                </c:pt>
                <c:pt idx="86">
                  <c:v>119.7</c:v>
                </c:pt>
                <c:pt idx="87">
                  <c:v>120.2</c:v>
                </c:pt>
                <c:pt idx="88">
                  <c:v>120.7</c:v>
                </c:pt>
                <c:pt idx="89">
                  <c:v>121.2</c:v>
                </c:pt>
                <c:pt idx="90">
                  <c:v>121.7</c:v>
                </c:pt>
                <c:pt idx="91">
                  <c:v>122.2</c:v>
                </c:pt>
                <c:pt idx="92">
                  <c:v>122.7</c:v>
                </c:pt>
                <c:pt idx="93">
                  <c:v>123.2</c:v>
                </c:pt>
                <c:pt idx="94">
                  <c:v>123.6</c:v>
                </c:pt>
                <c:pt idx="95">
                  <c:v>124.1</c:v>
                </c:pt>
                <c:pt idx="96">
                  <c:v>124.6</c:v>
                </c:pt>
                <c:pt idx="97">
                  <c:v>125.1</c:v>
                </c:pt>
                <c:pt idx="98">
                  <c:v>125.6</c:v>
                </c:pt>
                <c:pt idx="99">
                  <c:v>126.1</c:v>
                </c:pt>
                <c:pt idx="100">
                  <c:v>126.5</c:v>
                </c:pt>
                <c:pt idx="101">
                  <c:v>127.0</c:v>
                </c:pt>
                <c:pt idx="102">
                  <c:v>127.5</c:v>
                </c:pt>
                <c:pt idx="103">
                  <c:v>128.0</c:v>
                </c:pt>
                <c:pt idx="104">
                  <c:v>128.5</c:v>
                </c:pt>
                <c:pt idx="105">
                  <c:v>129.0</c:v>
                </c:pt>
                <c:pt idx="106">
                  <c:v>129.5</c:v>
                </c:pt>
                <c:pt idx="107">
                  <c:v>130.0</c:v>
                </c:pt>
                <c:pt idx="108">
                  <c:v>130.5</c:v>
                </c:pt>
                <c:pt idx="109">
                  <c:v>131.0</c:v>
                </c:pt>
                <c:pt idx="110">
                  <c:v>131.5</c:v>
                </c:pt>
                <c:pt idx="111">
                  <c:v>132.0</c:v>
                </c:pt>
                <c:pt idx="112">
                  <c:v>132.5</c:v>
                </c:pt>
                <c:pt idx="113">
                  <c:v>133.0</c:v>
                </c:pt>
                <c:pt idx="114">
                  <c:v>133.5</c:v>
                </c:pt>
                <c:pt idx="115">
                  <c:v>134.1</c:v>
                </c:pt>
                <c:pt idx="116">
                  <c:v>134.6</c:v>
                </c:pt>
                <c:pt idx="117">
                  <c:v>135.2</c:v>
                </c:pt>
                <c:pt idx="118">
                  <c:v>135.8</c:v>
                </c:pt>
                <c:pt idx="119">
                  <c:v>136.3</c:v>
                </c:pt>
                <c:pt idx="120">
                  <c:v>136.9</c:v>
                </c:pt>
                <c:pt idx="121">
                  <c:v>137.5</c:v>
                </c:pt>
                <c:pt idx="122">
                  <c:v>138.0</c:v>
                </c:pt>
                <c:pt idx="123">
                  <c:v>138.6</c:v>
                </c:pt>
                <c:pt idx="124">
                  <c:v>139.2</c:v>
                </c:pt>
                <c:pt idx="125">
                  <c:v>139.7</c:v>
                </c:pt>
                <c:pt idx="126">
                  <c:v>140.3</c:v>
                </c:pt>
                <c:pt idx="127">
                  <c:v>140.9</c:v>
                </c:pt>
                <c:pt idx="128">
                  <c:v>141.4</c:v>
                </c:pt>
                <c:pt idx="129">
                  <c:v>142.0</c:v>
                </c:pt>
                <c:pt idx="130">
                  <c:v>142.6</c:v>
                </c:pt>
                <c:pt idx="131">
                  <c:v>143.1</c:v>
                </c:pt>
                <c:pt idx="132">
                  <c:v>143.7</c:v>
                </c:pt>
                <c:pt idx="133">
                  <c:v>144.3</c:v>
                </c:pt>
                <c:pt idx="134">
                  <c:v>144.8</c:v>
                </c:pt>
                <c:pt idx="135">
                  <c:v>145.4</c:v>
                </c:pt>
                <c:pt idx="136">
                  <c:v>146.0</c:v>
                </c:pt>
                <c:pt idx="137">
                  <c:v>146.5</c:v>
                </c:pt>
                <c:pt idx="138">
                  <c:v>147.1</c:v>
                </c:pt>
                <c:pt idx="139">
                  <c:v>147.5</c:v>
                </c:pt>
                <c:pt idx="140">
                  <c:v>147.9</c:v>
                </c:pt>
                <c:pt idx="141">
                  <c:v>148.4</c:v>
                </c:pt>
                <c:pt idx="142">
                  <c:v>148.8</c:v>
                </c:pt>
                <c:pt idx="143">
                  <c:v>149.2</c:v>
                </c:pt>
                <c:pt idx="144">
                  <c:v>149.6</c:v>
                </c:pt>
                <c:pt idx="145">
                  <c:v>150.0</c:v>
                </c:pt>
                <c:pt idx="146">
                  <c:v>150.4</c:v>
                </c:pt>
                <c:pt idx="147">
                  <c:v>150.9</c:v>
                </c:pt>
                <c:pt idx="148">
                  <c:v>151.3</c:v>
                </c:pt>
                <c:pt idx="149">
                  <c:v>151.7</c:v>
                </c:pt>
                <c:pt idx="150">
                  <c:v>152.1</c:v>
                </c:pt>
                <c:pt idx="151">
                  <c:v>152.4</c:v>
                </c:pt>
                <c:pt idx="152">
                  <c:v>152.6</c:v>
                </c:pt>
                <c:pt idx="153">
                  <c:v>152.9</c:v>
                </c:pt>
                <c:pt idx="154">
                  <c:v>153.1</c:v>
                </c:pt>
                <c:pt idx="155">
                  <c:v>153.4</c:v>
                </c:pt>
                <c:pt idx="156">
                  <c:v>153.6</c:v>
                </c:pt>
                <c:pt idx="157">
                  <c:v>153.9</c:v>
                </c:pt>
                <c:pt idx="158">
                  <c:v>154.1</c:v>
                </c:pt>
                <c:pt idx="159">
                  <c:v>154.4</c:v>
                </c:pt>
                <c:pt idx="160">
                  <c:v>154.6</c:v>
                </c:pt>
                <c:pt idx="161">
                  <c:v>154.9</c:v>
                </c:pt>
                <c:pt idx="162">
                  <c:v>155.1</c:v>
                </c:pt>
                <c:pt idx="163">
                  <c:v>155.2</c:v>
                </c:pt>
                <c:pt idx="164">
                  <c:v>155.4</c:v>
                </c:pt>
                <c:pt idx="165">
                  <c:v>155.5</c:v>
                </c:pt>
                <c:pt idx="166">
                  <c:v>155.7</c:v>
                </c:pt>
                <c:pt idx="167">
                  <c:v>155.8</c:v>
                </c:pt>
                <c:pt idx="168">
                  <c:v>156.0</c:v>
                </c:pt>
                <c:pt idx="169">
                  <c:v>156.1</c:v>
                </c:pt>
                <c:pt idx="170">
                  <c:v>156.2</c:v>
                </c:pt>
                <c:pt idx="171">
                  <c:v>156.4</c:v>
                </c:pt>
                <c:pt idx="172">
                  <c:v>156.5</c:v>
                </c:pt>
                <c:pt idx="173">
                  <c:v>156.7</c:v>
                </c:pt>
                <c:pt idx="174">
                  <c:v>156.8</c:v>
                </c:pt>
                <c:pt idx="175">
                  <c:v>156.8</c:v>
                </c:pt>
                <c:pt idx="176">
                  <c:v>156.9</c:v>
                </c:pt>
                <c:pt idx="177">
                  <c:v>156.9</c:v>
                </c:pt>
                <c:pt idx="178">
                  <c:v>157.0</c:v>
                </c:pt>
                <c:pt idx="179">
                  <c:v>157.0</c:v>
                </c:pt>
                <c:pt idx="180">
                  <c:v>157.1</c:v>
                </c:pt>
                <c:pt idx="181">
                  <c:v>157.1</c:v>
                </c:pt>
                <c:pt idx="182">
                  <c:v>157.1</c:v>
                </c:pt>
                <c:pt idx="183">
                  <c:v>157.2</c:v>
                </c:pt>
                <c:pt idx="184">
                  <c:v>157.2</c:v>
                </c:pt>
                <c:pt idx="185">
                  <c:v>157.3</c:v>
                </c:pt>
                <c:pt idx="186">
                  <c:v>157.3</c:v>
                </c:pt>
                <c:pt idx="187">
                  <c:v>157.3</c:v>
                </c:pt>
                <c:pt idx="188">
                  <c:v>157.4</c:v>
                </c:pt>
                <c:pt idx="189">
                  <c:v>157.4</c:v>
                </c:pt>
                <c:pt idx="190">
                  <c:v>157.4</c:v>
                </c:pt>
                <c:pt idx="191">
                  <c:v>157.5</c:v>
                </c:pt>
                <c:pt idx="192">
                  <c:v>157.5</c:v>
                </c:pt>
                <c:pt idx="193">
                  <c:v>157.5</c:v>
                </c:pt>
                <c:pt idx="194">
                  <c:v>157.6</c:v>
                </c:pt>
                <c:pt idx="195">
                  <c:v>157.6</c:v>
                </c:pt>
                <c:pt idx="196">
                  <c:v>157.6</c:v>
                </c:pt>
                <c:pt idx="197">
                  <c:v>157.7</c:v>
                </c:pt>
                <c:pt idx="198">
                  <c:v>157.7</c:v>
                </c:pt>
                <c:pt idx="199">
                  <c:v>157.7</c:v>
                </c:pt>
                <c:pt idx="200">
                  <c:v>157.8</c:v>
                </c:pt>
                <c:pt idx="201">
                  <c:v>157.8</c:v>
                </c:pt>
                <c:pt idx="202">
                  <c:v>157.8</c:v>
                </c:pt>
                <c:pt idx="203">
                  <c:v>157.9</c:v>
                </c:pt>
                <c:pt idx="204">
                  <c:v>157.9</c:v>
                </c:pt>
                <c:pt idx="205">
                  <c:v>157.9</c:v>
                </c:pt>
                <c:pt idx="206">
                  <c:v>158.0</c:v>
                </c:pt>
                <c:pt idx="207">
                  <c:v>158.0</c:v>
                </c:pt>
                <c:pt idx="208">
                  <c:v>158.0</c:v>
                </c:pt>
                <c:pt idx="209">
                  <c:v>158.1</c:v>
                </c:pt>
                <c:pt idx="210">
                  <c:v>158.1</c:v>
                </c:pt>
              </c:numCache>
            </c:numRef>
          </c:yVal>
          <c:smooth val="0"/>
        </c:ser>
        <c:ser>
          <c:idx val="1"/>
          <c:order val="1"/>
          <c:tx>
            <c:strRef>
              <c:f>成長曲線_データ!$H$2</c:f>
              <c:strCache>
                <c:ptCount val="1"/>
                <c:pt idx="0">
                  <c:v>+2SD</c:v>
                </c:pt>
              </c:strCache>
            </c:strRef>
          </c:tx>
          <c:spPr>
            <a:ln w="127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成長曲線_データ!$H$4:$H$214</c:f>
              <c:numCache>
                <c:formatCode>General</c:formatCode>
                <c:ptCount val="211"/>
                <c:pt idx="0">
                  <c:v>52.6</c:v>
                </c:pt>
                <c:pt idx="1">
                  <c:v>56.8</c:v>
                </c:pt>
                <c:pt idx="2">
                  <c:v>61.1</c:v>
                </c:pt>
                <c:pt idx="3">
                  <c:v>64.4</c:v>
                </c:pt>
                <c:pt idx="4">
                  <c:v>67.0</c:v>
                </c:pt>
                <c:pt idx="5">
                  <c:v>69.19999999999998</c:v>
                </c:pt>
                <c:pt idx="6">
                  <c:v>70.8</c:v>
                </c:pt>
                <c:pt idx="7">
                  <c:v>72.1</c:v>
                </c:pt>
                <c:pt idx="8">
                  <c:v>73.7</c:v>
                </c:pt>
                <c:pt idx="9">
                  <c:v>74.8</c:v>
                </c:pt>
                <c:pt idx="10">
                  <c:v>76.0</c:v>
                </c:pt>
                <c:pt idx="11">
                  <c:v>77.3</c:v>
                </c:pt>
                <c:pt idx="12">
                  <c:v>78.4</c:v>
                </c:pt>
                <c:pt idx="13">
                  <c:v>79.5</c:v>
                </c:pt>
                <c:pt idx="14">
                  <c:v>80.7</c:v>
                </c:pt>
                <c:pt idx="15">
                  <c:v>81.7</c:v>
                </c:pt>
                <c:pt idx="16">
                  <c:v>82.7</c:v>
                </c:pt>
                <c:pt idx="17">
                  <c:v>83.80000000000001</c:v>
                </c:pt>
                <c:pt idx="18">
                  <c:v>84.80000000000001</c:v>
                </c:pt>
                <c:pt idx="19">
                  <c:v>85.9</c:v>
                </c:pt>
                <c:pt idx="20">
                  <c:v>86.8</c:v>
                </c:pt>
                <c:pt idx="21">
                  <c:v>87.6</c:v>
                </c:pt>
                <c:pt idx="22">
                  <c:v>88.6</c:v>
                </c:pt>
                <c:pt idx="23">
                  <c:v>89.3</c:v>
                </c:pt>
                <c:pt idx="24">
                  <c:v>90.1</c:v>
                </c:pt>
                <c:pt idx="25">
                  <c:v>91.0</c:v>
                </c:pt>
                <c:pt idx="26">
                  <c:v>91.7</c:v>
                </c:pt>
                <c:pt idx="27">
                  <c:v>92.4</c:v>
                </c:pt>
                <c:pt idx="28">
                  <c:v>93.3</c:v>
                </c:pt>
                <c:pt idx="29">
                  <c:v>93.9</c:v>
                </c:pt>
                <c:pt idx="30">
                  <c:v>94.60000000000001</c:v>
                </c:pt>
                <c:pt idx="31">
                  <c:v>95.4</c:v>
                </c:pt>
                <c:pt idx="32">
                  <c:v>96.0</c:v>
                </c:pt>
                <c:pt idx="33">
                  <c:v>96.9</c:v>
                </c:pt>
                <c:pt idx="34">
                  <c:v>97.5</c:v>
                </c:pt>
                <c:pt idx="35">
                  <c:v>98.19999999999998</c:v>
                </c:pt>
                <c:pt idx="36">
                  <c:v>99.0</c:v>
                </c:pt>
                <c:pt idx="37">
                  <c:v>99.6</c:v>
                </c:pt>
                <c:pt idx="38">
                  <c:v>100.3</c:v>
                </c:pt>
                <c:pt idx="39">
                  <c:v>101.1</c:v>
                </c:pt>
                <c:pt idx="40">
                  <c:v>101.7</c:v>
                </c:pt>
                <c:pt idx="41">
                  <c:v>102.3</c:v>
                </c:pt>
                <c:pt idx="42">
                  <c:v>103.1</c:v>
                </c:pt>
                <c:pt idx="43">
                  <c:v>103.7</c:v>
                </c:pt>
                <c:pt idx="44">
                  <c:v>104.3</c:v>
                </c:pt>
                <c:pt idx="45">
                  <c:v>105.1</c:v>
                </c:pt>
                <c:pt idx="46">
                  <c:v>105.7</c:v>
                </c:pt>
                <c:pt idx="47">
                  <c:v>106.5</c:v>
                </c:pt>
                <c:pt idx="48">
                  <c:v>107.1</c:v>
                </c:pt>
                <c:pt idx="49">
                  <c:v>107.6</c:v>
                </c:pt>
                <c:pt idx="50">
                  <c:v>108.4</c:v>
                </c:pt>
                <c:pt idx="51">
                  <c:v>109.0</c:v>
                </c:pt>
                <c:pt idx="52">
                  <c:v>109.5</c:v>
                </c:pt>
                <c:pt idx="53">
                  <c:v>110.3</c:v>
                </c:pt>
                <c:pt idx="54">
                  <c:v>110.8</c:v>
                </c:pt>
                <c:pt idx="55">
                  <c:v>111.4</c:v>
                </c:pt>
                <c:pt idx="56">
                  <c:v>112.1</c:v>
                </c:pt>
                <c:pt idx="57">
                  <c:v>112.7</c:v>
                </c:pt>
                <c:pt idx="58">
                  <c:v>113.2</c:v>
                </c:pt>
                <c:pt idx="59">
                  <c:v>114.0</c:v>
                </c:pt>
                <c:pt idx="60">
                  <c:v>114.6</c:v>
                </c:pt>
                <c:pt idx="61">
                  <c:v>115.3</c:v>
                </c:pt>
                <c:pt idx="62">
                  <c:v>115.9</c:v>
                </c:pt>
                <c:pt idx="63">
                  <c:v>116.4</c:v>
                </c:pt>
                <c:pt idx="64">
                  <c:v>117.2</c:v>
                </c:pt>
                <c:pt idx="65">
                  <c:v>117.7</c:v>
                </c:pt>
                <c:pt idx="66">
                  <c:v>118.3</c:v>
                </c:pt>
                <c:pt idx="67">
                  <c:v>119.0</c:v>
                </c:pt>
                <c:pt idx="68">
                  <c:v>119.6</c:v>
                </c:pt>
                <c:pt idx="69">
                  <c:v>120.1</c:v>
                </c:pt>
                <c:pt idx="70">
                  <c:v>120.8</c:v>
                </c:pt>
                <c:pt idx="71">
                  <c:v>121.4</c:v>
                </c:pt>
                <c:pt idx="72">
                  <c:v>121.9</c:v>
                </c:pt>
                <c:pt idx="73">
                  <c:v>122.7</c:v>
                </c:pt>
                <c:pt idx="74">
                  <c:v>123.2</c:v>
                </c:pt>
                <c:pt idx="75">
                  <c:v>123.3</c:v>
                </c:pt>
                <c:pt idx="76">
                  <c:v>124.0</c:v>
                </c:pt>
                <c:pt idx="77">
                  <c:v>124.8</c:v>
                </c:pt>
                <c:pt idx="78">
                  <c:v>125.6</c:v>
                </c:pt>
                <c:pt idx="79">
                  <c:v>126.1</c:v>
                </c:pt>
                <c:pt idx="80">
                  <c:v>126.6</c:v>
                </c:pt>
                <c:pt idx="81">
                  <c:v>127.1</c:v>
                </c:pt>
                <c:pt idx="82">
                  <c:v>127.8</c:v>
                </c:pt>
                <c:pt idx="83">
                  <c:v>128.3</c:v>
                </c:pt>
                <c:pt idx="84">
                  <c:v>128.8</c:v>
                </c:pt>
                <c:pt idx="85">
                  <c:v>129.2</c:v>
                </c:pt>
                <c:pt idx="86">
                  <c:v>129.7</c:v>
                </c:pt>
                <c:pt idx="87">
                  <c:v>130.4</c:v>
                </c:pt>
                <c:pt idx="88">
                  <c:v>130.9</c:v>
                </c:pt>
                <c:pt idx="89">
                  <c:v>131.4</c:v>
                </c:pt>
                <c:pt idx="90">
                  <c:v>131.9</c:v>
                </c:pt>
                <c:pt idx="91">
                  <c:v>132.6</c:v>
                </c:pt>
                <c:pt idx="92">
                  <c:v>133.1</c:v>
                </c:pt>
                <c:pt idx="93">
                  <c:v>133.6</c:v>
                </c:pt>
                <c:pt idx="94">
                  <c:v>134.2</c:v>
                </c:pt>
                <c:pt idx="95">
                  <c:v>134.7</c:v>
                </c:pt>
                <c:pt idx="96">
                  <c:v>135.4</c:v>
                </c:pt>
                <c:pt idx="97">
                  <c:v>135.9</c:v>
                </c:pt>
                <c:pt idx="98">
                  <c:v>136.4</c:v>
                </c:pt>
                <c:pt idx="99">
                  <c:v>137.1</c:v>
                </c:pt>
                <c:pt idx="100">
                  <c:v>137.5</c:v>
                </c:pt>
                <c:pt idx="101">
                  <c:v>138.0</c:v>
                </c:pt>
                <c:pt idx="102">
                  <c:v>138.7</c:v>
                </c:pt>
                <c:pt idx="103">
                  <c:v>139.2</c:v>
                </c:pt>
                <c:pt idx="104">
                  <c:v>139.9</c:v>
                </c:pt>
                <c:pt idx="105">
                  <c:v>140.4</c:v>
                </c:pt>
                <c:pt idx="106">
                  <c:v>141.1</c:v>
                </c:pt>
                <c:pt idx="107">
                  <c:v>141.6</c:v>
                </c:pt>
                <c:pt idx="108">
                  <c:v>142.3</c:v>
                </c:pt>
                <c:pt idx="109">
                  <c:v>142.8</c:v>
                </c:pt>
                <c:pt idx="110">
                  <c:v>143.5</c:v>
                </c:pt>
                <c:pt idx="111">
                  <c:v>144.0</c:v>
                </c:pt>
                <c:pt idx="112">
                  <c:v>144.7</c:v>
                </c:pt>
                <c:pt idx="113">
                  <c:v>145.2</c:v>
                </c:pt>
                <c:pt idx="114">
                  <c:v>145.9</c:v>
                </c:pt>
                <c:pt idx="115">
                  <c:v>146.5</c:v>
                </c:pt>
                <c:pt idx="116">
                  <c:v>147.2</c:v>
                </c:pt>
                <c:pt idx="117">
                  <c:v>147.8</c:v>
                </c:pt>
                <c:pt idx="118">
                  <c:v>148.6</c:v>
                </c:pt>
                <c:pt idx="119">
                  <c:v>149.1</c:v>
                </c:pt>
                <c:pt idx="120">
                  <c:v>149.9</c:v>
                </c:pt>
                <c:pt idx="121">
                  <c:v>150.5</c:v>
                </c:pt>
                <c:pt idx="122">
                  <c:v>151.2</c:v>
                </c:pt>
                <c:pt idx="123">
                  <c:v>151.8</c:v>
                </c:pt>
                <c:pt idx="124">
                  <c:v>152.6</c:v>
                </c:pt>
                <c:pt idx="125">
                  <c:v>153.1</c:v>
                </c:pt>
                <c:pt idx="126">
                  <c:v>153.9</c:v>
                </c:pt>
                <c:pt idx="127">
                  <c:v>154.5</c:v>
                </c:pt>
                <c:pt idx="128">
                  <c:v>155.0</c:v>
                </c:pt>
                <c:pt idx="129">
                  <c:v>155.6</c:v>
                </c:pt>
                <c:pt idx="130">
                  <c:v>156.2</c:v>
                </c:pt>
                <c:pt idx="131">
                  <c:v>156.5</c:v>
                </c:pt>
                <c:pt idx="132">
                  <c:v>157.1</c:v>
                </c:pt>
                <c:pt idx="133">
                  <c:v>157.7</c:v>
                </c:pt>
                <c:pt idx="134">
                  <c:v>158.2</c:v>
                </c:pt>
                <c:pt idx="135">
                  <c:v>158.8</c:v>
                </c:pt>
                <c:pt idx="136">
                  <c:v>159.4</c:v>
                </c:pt>
                <c:pt idx="137">
                  <c:v>159.9</c:v>
                </c:pt>
                <c:pt idx="138">
                  <c:v>160.5</c:v>
                </c:pt>
                <c:pt idx="139">
                  <c:v>160.7</c:v>
                </c:pt>
                <c:pt idx="140">
                  <c:v>160.9</c:v>
                </c:pt>
                <c:pt idx="141">
                  <c:v>161.4</c:v>
                </c:pt>
                <c:pt idx="142">
                  <c:v>161.6</c:v>
                </c:pt>
                <c:pt idx="143">
                  <c:v>162.0</c:v>
                </c:pt>
                <c:pt idx="144">
                  <c:v>162.2</c:v>
                </c:pt>
                <c:pt idx="145">
                  <c:v>162.4</c:v>
                </c:pt>
                <c:pt idx="146">
                  <c:v>162.8</c:v>
                </c:pt>
                <c:pt idx="147">
                  <c:v>163.1</c:v>
                </c:pt>
                <c:pt idx="148">
                  <c:v>163.5</c:v>
                </c:pt>
                <c:pt idx="149">
                  <c:v>163.7</c:v>
                </c:pt>
                <c:pt idx="150">
                  <c:v>163.9</c:v>
                </c:pt>
                <c:pt idx="151">
                  <c:v>164.2</c:v>
                </c:pt>
                <c:pt idx="152">
                  <c:v>164.2</c:v>
                </c:pt>
                <c:pt idx="153">
                  <c:v>164.5</c:v>
                </c:pt>
                <c:pt idx="154">
                  <c:v>164.7</c:v>
                </c:pt>
                <c:pt idx="155">
                  <c:v>164.8</c:v>
                </c:pt>
                <c:pt idx="156">
                  <c:v>165.0</c:v>
                </c:pt>
                <c:pt idx="157">
                  <c:v>165.1</c:v>
                </c:pt>
                <c:pt idx="158">
                  <c:v>165.3</c:v>
                </c:pt>
                <c:pt idx="159">
                  <c:v>165.4</c:v>
                </c:pt>
                <c:pt idx="160">
                  <c:v>165.6</c:v>
                </c:pt>
                <c:pt idx="161">
                  <c:v>165.7</c:v>
                </c:pt>
                <c:pt idx="162">
                  <c:v>165.9</c:v>
                </c:pt>
                <c:pt idx="163">
                  <c:v>166.0</c:v>
                </c:pt>
                <c:pt idx="164">
                  <c:v>166.2</c:v>
                </c:pt>
                <c:pt idx="165">
                  <c:v>166.3</c:v>
                </c:pt>
                <c:pt idx="166">
                  <c:v>166.5</c:v>
                </c:pt>
                <c:pt idx="167">
                  <c:v>166.6</c:v>
                </c:pt>
                <c:pt idx="168">
                  <c:v>166.8</c:v>
                </c:pt>
                <c:pt idx="169">
                  <c:v>166.7</c:v>
                </c:pt>
                <c:pt idx="170">
                  <c:v>166.8</c:v>
                </c:pt>
                <c:pt idx="171">
                  <c:v>167.0</c:v>
                </c:pt>
                <c:pt idx="172">
                  <c:v>167.1</c:v>
                </c:pt>
                <c:pt idx="173">
                  <c:v>167.3</c:v>
                </c:pt>
                <c:pt idx="174">
                  <c:v>167.4</c:v>
                </c:pt>
                <c:pt idx="175">
                  <c:v>167.4</c:v>
                </c:pt>
                <c:pt idx="176">
                  <c:v>167.5</c:v>
                </c:pt>
                <c:pt idx="177">
                  <c:v>167.5</c:v>
                </c:pt>
                <c:pt idx="178">
                  <c:v>167.6</c:v>
                </c:pt>
                <c:pt idx="179">
                  <c:v>167.6</c:v>
                </c:pt>
                <c:pt idx="180">
                  <c:v>167.7</c:v>
                </c:pt>
                <c:pt idx="181">
                  <c:v>167.7</c:v>
                </c:pt>
                <c:pt idx="182">
                  <c:v>167.5</c:v>
                </c:pt>
                <c:pt idx="183">
                  <c:v>167.6</c:v>
                </c:pt>
                <c:pt idx="184">
                  <c:v>167.6</c:v>
                </c:pt>
                <c:pt idx="185">
                  <c:v>167.7</c:v>
                </c:pt>
                <c:pt idx="186">
                  <c:v>167.7</c:v>
                </c:pt>
                <c:pt idx="187">
                  <c:v>167.7</c:v>
                </c:pt>
                <c:pt idx="188">
                  <c:v>167.8</c:v>
                </c:pt>
                <c:pt idx="189">
                  <c:v>167.8</c:v>
                </c:pt>
                <c:pt idx="190">
                  <c:v>167.8</c:v>
                </c:pt>
                <c:pt idx="191">
                  <c:v>167.9</c:v>
                </c:pt>
                <c:pt idx="192">
                  <c:v>167.9</c:v>
                </c:pt>
                <c:pt idx="193">
                  <c:v>167.9</c:v>
                </c:pt>
                <c:pt idx="194">
                  <c:v>168.0</c:v>
                </c:pt>
                <c:pt idx="195">
                  <c:v>168.0</c:v>
                </c:pt>
                <c:pt idx="196">
                  <c:v>168.0</c:v>
                </c:pt>
                <c:pt idx="197">
                  <c:v>168.1</c:v>
                </c:pt>
                <c:pt idx="198">
                  <c:v>168.1</c:v>
                </c:pt>
                <c:pt idx="199">
                  <c:v>168.1</c:v>
                </c:pt>
                <c:pt idx="200">
                  <c:v>168.2</c:v>
                </c:pt>
                <c:pt idx="201">
                  <c:v>168.2</c:v>
                </c:pt>
                <c:pt idx="202">
                  <c:v>168.2</c:v>
                </c:pt>
                <c:pt idx="203">
                  <c:v>168.3</c:v>
                </c:pt>
                <c:pt idx="204">
                  <c:v>168.3</c:v>
                </c:pt>
                <c:pt idx="205">
                  <c:v>168.3</c:v>
                </c:pt>
                <c:pt idx="206">
                  <c:v>168.4</c:v>
                </c:pt>
                <c:pt idx="207">
                  <c:v>168.4</c:v>
                </c:pt>
                <c:pt idx="208">
                  <c:v>168.4</c:v>
                </c:pt>
                <c:pt idx="209">
                  <c:v>168.5</c:v>
                </c:pt>
                <c:pt idx="210">
                  <c:v>168.7</c:v>
                </c:pt>
              </c:numCache>
            </c:numRef>
          </c:yVal>
          <c:smooth val="0"/>
        </c:ser>
        <c:ser>
          <c:idx val="2"/>
          <c:order val="2"/>
          <c:tx>
            <c:strRef>
              <c:f>成長曲線_データ!$I$2</c:f>
              <c:strCache>
                <c:ptCount val="1"/>
                <c:pt idx="0">
                  <c:v>+1SD</c:v>
                </c:pt>
              </c:strCache>
            </c:strRef>
          </c:tx>
          <c:spPr>
            <a:ln w="12700">
              <a:solidFill>
                <a:sysClr val="windowText" lastClr="000000"/>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成長曲線_データ!$I$4:$I$214</c:f>
              <c:numCache>
                <c:formatCode>General</c:formatCode>
                <c:ptCount val="211"/>
                <c:pt idx="0">
                  <c:v>50.5</c:v>
                </c:pt>
                <c:pt idx="1">
                  <c:v>54.7</c:v>
                </c:pt>
                <c:pt idx="2">
                  <c:v>58.90000000000001</c:v>
                </c:pt>
                <c:pt idx="3">
                  <c:v>62.2</c:v>
                </c:pt>
                <c:pt idx="4">
                  <c:v>64.8</c:v>
                </c:pt>
                <c:pt idx="5">
                  <c:v>66.9</c:v>
                </c:pt>
                <c:pt idx="6">
                  <c:v>68.5</c:v>
                </c:pt>
                <c:pt idx="7">
                  <c:v>69.8</c:v>
                </c:pt>
                <c:pt idx="8">
                  <c:v>71.30000000000001</c:v>
                </c:pt>
                <c:pt idx="9">
                  <c:v>72.4</c:v>
                </c:pt>
                <c:pt idx="10">
                  <c:v>73.60000000000001</c:v>
                </c:pt>
                <c:pt idx="11">
                  <c:v>74.8</c:v>
                </c:pt>
                <c:pt idx="12">
                  <c:v>75.9</c:v>
                </c:pt>
                <c:pt idx="13">
                  <c:v>77.0</c:v>
                </c:pt>
                <c:pt idx="14">
                  <c:v>78.1</c:v>
                </c:pt>
                <c:pt idx="15">
                  <c:v>79.1</c:v>
                </c:pt>
                <c:pt idx="16">
                  <c:v>80.1</c:v>
                </c:pt>
                <c:pt idx="17">
                  <c:v>81.10000000000001</c:v>
                </c:pt>
                <c:pt idx="18">
                  <c:v>82.10000000000001</c:v>
                </c:pt>
                <c:pt idx="19">
                  <c:v>83.1</c:v>
                </c:pt>
                <c:pt idx="20">
                  <c:v>84.0</c:v>
                </c:pt>
                <c:pt idx="21">
                  <c:v>84.8</c:v>
                </c:pt>
                <c:pt idx="22">
                  <c:v>85.7</c:v>
                </c:pt>
                <c:pt idx="23">
                  <c:v>86.4</c:v>
                </c:pt>
                <c:pt idx="24">
                  <c:v>87.2</c:v>
                </c:pt>
                <c:pt idx="25">
                  <c:v>88.0</c:v>
                </c:pt>
                <c:pt idx="26">
                  <c:v>88.7</c:v>
                </c:pt>
                <c:pt idx="27">
                  <c:v>89.4</c:v>
                </c:pt>
                <c:pt idx="28">
                  <c:v>90.19999999999998</c:v>
                </c:pt>
                <c:pt idx="29">
                  <c:v>90.8</c:v>
                </c:pt>
                <c:pt idx="30">
                  <c:v>91.5</c:v>
                </c:pt>
                <c:pt idx="31">
                  <c:v>92.2</c:v>
                </c:pt>
                <c:pt idx="32">
                  <c:v>92.8</c:v>
                </c:pt>
                <c:pt idx="33">
                  <c:v>93.6</c:v>
                </c:pt>
                <c:pt idx="34">
                  <c:v>94.2</c:v>
                </c:pt>
                <c:pt idx="35">
                  <c:v>94.9</c:v>
                </c:pt>
                <c:pt idx="36">
                  <c:v>95.60000000000001</c:v>
                </c:pt>
                <c:pt idx="37">
                  <c:v>96.2</c:v>
                </c:pt>
                <c:pt idx="38">
                  <c:v>96.9</c:v>
                </c:pt>
                <c:pt idx="39">
                  <c:v>97.6</c:v>
                </c:pt>
                <c:pt idx="40">
                  <c:v>98.2</c:v>
                </c:pt>
                <c:pt idx="41">
                  <c:v>98.8</c:v>
                </c:pt>
                <c:pt idx="42">
                  <c:v>99.5</c:v>
                </c:pt>
                <c:pt idx="43">
                  <c:v>100.1</c:v>
                </c:pt>
                <c:pt idx="44">
                  <c:v>100.7</c:v>
                </c:pt>
                <c:pt idx="45">
                  <c:v>101.4</c:v>
                </c:pt>
                <c:pt idx="46">
                  <c:v>102.0</c:v>
                </c:pt>
                <c:pt idx="47">
                  <c:v>102.7</c:v>
                </c:pt>
                <c:pt idx="48">
                  <c:v>103.3</c:v>
                </c:pt>
                <c:pt idx="49">
                  <c:v>103.8</c:v>
                </c:pt>
                <c:pt idx="50">
                  <c:v>104.5</c:v>
                </c:pt>
                <c:pt idx="51">
                  <c:v>105.1</c:v>
                </c:pt>
                <c:pt idx="52">
                  <c:v>105.6</c:v>
                </c:pt>
                <c:pt idx="53">
                  <c:v>106.3</c:v>
                </c:pt>
                <c:pt idx="54">
                  <c:v>106.8</c:v>
                </c:pt>
                <c:pt idx="55">
                  <c:v>107.4</c:v>
                </c:pt>
                <c:pt idx="56">
                  <c:v>108.0</c:v>
                </c:pt>
                <c:pt idx="57">
                  <c:v>108.6</c:v>
                </c:pt>
                <c:pt idx="58">
                  <c:v>109.1</c:v>
                </c:pt>
                <c:pt idx="59">
                  <c:v>109.8</c:v>
                </c:pt>
                <c:pt idx="60">
                  <c:v>110.4</c:v>
                </c:pt>
                <c:pt idx="61">
                  <c:v>111.0</c:v>
                </c:pt>
                <c:pt idx="62">
                  <c:v>111.6</c:v>
                </c:pt>
                <c:pt idx="63">
                  <c:v>112.1</c:v>
                </c:pt>
                <c:pt idx="64">
                  <c:v>112.8</c:v>
                </c:pt>
                <c:pt idx="65">
                  <c:v>113.3</c:v>
                </c:pt>
                <c:pt idx="66">
                  <c:v>113.9</c:v>
                </c:pt>
                <c:pt idx="67">
                  <c:v>114.5</c:v>
                </c:pt>
                <c:pt idx="68">
                  <c:v>115.1</c:v>
                </c:pt>
                <c:pt idx="69">
                  <c:v>115.6</c:v>
                </c:pt>
                <c:pt idx="70">
                  <c:v>116.2</c:v>
                </c:pt>
                <c:pt idx="71">
                  <c:v>116.8</c:v>
                </c:pt>
                <c:pt idx="72">
                  <c:v>117.3</c:v>
                </c:pt>
                <c:pt idx="73">
                  <c:v>118.0</c:v>
                </c:pt>
                <c:pt idx="74">
                  <c:v>118.5</c:v>
                </c:pt>
                <c:pt idx="75">
                  <c:v>118.7</c:v>
                </c:pt>
                <c:pt idx="76">
                  <c:v>119.3</c:v>
                </c:pt>
                <c:pt idx="77">
                  <c:v>120.0</c:v>
                </c:pt>
                <c:pt idx="78">
                  <c:v>120.7</c:v>
                </c:pt>
                <c:pt idx="79">
                  <c:v>121.2</c:v>
                </c:pt>
                <c:pt idx="80">
                  <c:v>121.7</c:v>
                </c:pt>
                <c:pt idx="81">
                  <c:v>122.2</c:v>
                </c:pt>
                <c:pt idx="82">
                  <c:v>122.8</c:v>
                </c:pt>
                <c:pt idx="83">
                  <c:v>123.3</c:v>
                </c:pt>
                <c:pt idx="84">
                  <c:v>123.8</c:v>
                </c:pt>
                <c:pt idx="85">
                  <c:v>124.2</c:v>
                </c:pt>
                <c:pt idx="86">
                  <c:v>124.7</c:v>
                </c:pt>
                <c:pt idx="87">
                  <c:v>125.3</c:v>
                </c:pt>
                <c:pt idx="88">
                  <c:v>125.8</c:v>
                </c:pt>
                <c:pt idx="89">
                  <c:v>126.3</c:v>
                </c:pt>
                <c:pt idx="90">
                  <c:v>126.8</c:v>
                </c:pt>
                <c:pt idx="91">
                  <c:v>127.4</c:v>
                </c:pt>
                <c:pt idx="92">
                  <c:v>127.9</c:v>
                </c:pt>
                <c:pt idx="93">
                  <c:v>128.4</c:v>
                </c:pt>
                <c:pt idx="94">
                  <c:v>128.9</c:v>
                </c:pt>
                <c:pt idx="95">
                  <c:v>129.4</c:v>
                </c:pt>
                <c:pt idx="96">
                  <c:v>130.0</c:v>
                </c:pt>
                <c:pt idx="97">
                  <c:v>130.5</c:v>
                </c:pt>
                <c:pt idx="98">
                  <c:v>131.0</c:v>
                </c:pt>
                <c:pt idx="99">
                  <c:v>131.6</c:v>
                </c:pt>
                <c:pt idx="100">
                  <c:v>132.0</c:v>
                </c:pt>
                <c:pt idx="101">
                  <c:v>132.5</c:v>
                </c:pt>
                <c:pt idx="102">
                  <c:v>133.1</c:v>
                </c:pt>
                <c:pt idx="103">
                  <c:v>133.6</c:v>
                </c:pt>
                <c:pt idx="104">
                  <c:v>134.2</c:v>
                </c:pt>
                <c:pt idx="105">
                  <c:v>134.7</c:v>
                </c:pt>
                <c:pt idx="106">
                  <c:v>135.3</c:v>
                </c:pt>
                <c:pt idx="107">
                  <c:v>135.8</c:v>
                </c:pt>
                <c:pt idx="108">
                  <c:v>136.4</c:v>
                </c:pt>
                <c:pt idx="109">
                  <c:v>136.9</c:v>
                </c:pt>
                <c:pt idx="110">
                  <c:v>137.5</c:v>
                </c:pt>
                <c:pt idx="111">
                  <c:v>138.0</c:v>
                </c:pt>
                <c:pt idx="112">
                  <c:v>138.6</c:v>
                </c:pt>
                <c:pt idx="113">
                  <c:v>139.1</c:v>
                </c:pt>
                <c:pt idx="114">
                  <c:v>139.7</c:v>
                </c:pt>
                <c:pt idx="115">
                  <c:v>140.3</c:v>
                </c:pt>
                <c:pt idx="116">
                  <c:v>140.9</c:v>
                </c:pt>
                <c:pt idx="117">
                  <c:v>141.5</c:v>
                </c:pt>
                <c:pt idx="118">
                  <c:v>142.2</c:v>
                </c:pt>
                <c:pt idx="119">
                  <c:v>142.7</c:v>
                </c:pt>
                <c:pt idx="120">
                  <c:v>143.4</c:v>
                </c:pt>
                <c:pt idx="121">
                  <c:v>144.0</c:v>
                </c:pt>
                <c:pt idx="122">
                  <c:v>144.6</c:v>
                </c:pt>
                <c:pt idx="123">
                  <c:v>145.2</c:v>
                </c:pt>
                <c:pt idx="124">
                  <c:v>145.9</c:v>
                </c:pt>
                <c:pt idx="125">
                  <c:v>146.4</c:v>
                </c:pt>
                <c:pt idx="126">
                  <c:v>147.1</c:v>
                </c:pt>
                <c:pt idx="127">
                  <c:v>147.7</c:v>
                </c:pt>
                <c:pt idx="128">
                  <c:v>148.2</c:v>
                </c:pt>
                <c:pt idx="129">
                  <c:v>148.8</c:v>
                </c:pt>
                <c:pt idx="130">
                  <c:v>149.4</c:v>
                </c:pt>
                <c:pt idx="131">
                  <c:v>149.8</c:v>
                </c:pt>
                <c:pt idx="132">
                  <c:v>150.4</c:v>
                </c:pt>
                <c:pt idx="133">
                  <c:v>151.0</c:v>
                </c:pt>
                <c:pt idx="134">
                  <c:v>151.5</c:v>
                </c:pt>
                <c:pt idx="135">
                  <c:v>152.1</c:v>
                </c:pt>
                <c:pt idx="136">
                  <c:v>152.7</c:v>
                </c:pt>
                <c:pt idx="137">
                  <c:v>153.2</c:v>
                </c:pt>
                <c:pt idx="138">
                  <c:v>153.8</c:v>
                </c:pt>
                <c:pt idx="139">
                  <c:v>154.1</c:v>
                </c:pt>
                <c:pt idx="140">
                  <c:v>154.4</c:v>
                </c:pt>
                <c:pt idx="141">
                  <c:v>154.9</c:v>
                </c:pt>
                <c:pt idx="142">
                  <c:v>155.2</c:v>
                </c:pt>
                <c:pt idx="143">
                  <c:v>155.6</c:v>
                </c:pt>
                <c:pt idx="144">
                  <c:v>155.9</c:v>
                </c:pt>
                <c:pt idx="145">
                  <c:v>156.2</c:v>
                </c:pt>
                <c:pt idx="146">
                  <c:v>156.6</c:v>
                </c:pt>
                <c:pt idx="147">
                  <c:v>157.0</c:v>
                </c:pt>
                <c:pt idx="148">
                  <c:v>157.4</c:v>
                </c:pt>
                <c:pt idx="149">
                  <c:v>157.7</c:v>
                </c:pt>
                <c:pt idx="150">
                  <c:v>158.0</c:v>
                </c:pt>
                <c:pt idx="151">
                  <c:v>158.3</c:v>
                </c:pt>
                <c:pt idx="152">
                  <c:v>158.4</c:v>
                </c:pt>
                <c:pt idx="153">
                  <c:v>158.7</c:v>
                </c:pt>
                <c:pt idx="154">
                  <c:v>158.9</c:v>
                </c:pt>
                <c:pt idx="155">
                  <c:v>159.1</c:v>
                </c:pt>
                <c:pt idx="156">
                  <c:v>159.3</c:v>
                </c:pt>
                <c:pt idx="157">
                  <c:v>159.5</c:v>
                </c:pt>
                <c:pt idx="158">
                  <c:v>159.7</c:v>
                </c:pt>
                <c:pt idx="159">
                  <c:v>159.9</c:v>
                </c:pt>
                <c:pt idx="160">
                  <c:v>160.1</c:v>
                </c:pt>
                <c:pt idx="161">
                  <c:v>160.3</c:v>
                </c:pt>
                <c:pt idx="162">
                  <c:v>160.5</c:v>
                </c:pt>
                <c:pt idx="163">
                  <c:v>160.6</c:v>
                </c:pt>
                <c:pt idx="164">
                  <c:v>160.8</c:v>
                </c:pt>
                <c:pt idx="165">
                  <c:v>160.9</c:v>
                </c:pt>
                <c:pt idx="166">
                  <c:v>161.1</c:v>
                </c:pt>
                <c:pt idx="167">
                  <c:v>161.2</c:v>
                </c:pt>
                <c:pt idx="168">
                  <c:v>161.4</c:v>
                </c:pt>
                <c:pt idx="169">
                  <c:v>161.4</c:v>
                </c:pt>
                <c:pt idx="170">
                  <c:v>161.5</c:v>
                </c:pt>
                <c:pt idx="171">
                  <c:v>161.7</c:v>
                </c:pt>
                <c:pt idx="172">
                  <c:v>161.8</c:v>
                </c:pt>
                <c:pt idx="173">
                  <c:v>162.0</c:v>
                </c:pt>
                <c:pt idx="174">
                  <c:v>162.1</c:v>
                </c:pt>
                <c:pt idx="175">
                  <c:v>162.1</c:v>
                </c:pt>
                <c:pt idx="176">
                  <c:v>162.2</c:v>
                </c:pt>
                <c:pt idx="177">
                  <c:v>162.2</c:v>
                </c:pt>
                <c:pt idx="178">
                  <c:v>162.3</c:v>
                </c:pt>
                <c:pt idx="179">
                  <c:v>162.3</c:v>
                </c:pt>
                <c:pt idx="180">
                  <c:v>162.4</c:v>
                </c:pt>
                <c:pt idx="181">
                  <c:v>162.4</c:v>
                </c:pt>
                <c:pt idx="182">
                  <c:v>162.3</c:v>
                </c:pt>
                <c:pt idx="183">
                  <c:v>162.4</c:v>
                </c:pt>
                <c:pt idx="184">
                  <c:v>162.4</c:v>
                </c:pt>
                <c:pt idx="185">
                  <c:v>162.5</c:v>
                </c:pt>
                <c:pt idx="186">
                  <c:v>162.5</c:v>
                </c:pt>
                <c:pt idx="187">
                  <c:v>162.5</c:v>
                </c:pt>
                <c:pt idx="188">
                  <c:v>162.6</c:v>
                </c:pt>
                <c:pt idx="189">
                  <c:v>162.6</c:v>
                </c:pt>
                <c:pt idx="190">
                  <c:v>162.6</c:v>
                </c:pt>
                <c:pt idx="191">
                  <c:v>162.7</c:v>
                </c:pt>
                <c:pt idx="192">
                  <c:v>162.7</c:v>
                </c:pt>
                <c:pt idx="193">
                  <c:v>162.7</c:v>
                </c:pt>
                <c:pt idx="194">
                  <c:v>162.8</c:v>
                </c:pt>
                <c:pt idx="195">
                  <c:v>162.8</c:v>
                </c:pt>
                <c:pt idx="196">
                  <c:v>162.8</c:v>
                </c:pt>
                <c:pt idx="197">
                  <c:v>162.9</c:v>
                </c:pt>
                <c:pt idx="198">
                  <c:v>162.9</c:v>
                </c:pt>
                <c:pt idx="199">
                  <c:v>162.9</c:v>
                </c:pt>
                <c:pt idx="200">
                  <c:v>163.0</c:v>
                </c:pt>
                <c:pt idx="201">
                  <c:v>163.0</c:v>
                </c:pt>
                <c:pt idx="202">
                  <c:v>163.0</c:v>
                </c:pt>
                <c:pt idx="203">
                  <c:v>163.1</c:v>
                </c:pt>
                <c:pt idx="204">
                  <c:v>163.1</c:v>
                </c:pt>
                <c:pt idx="205">
                  <c:v>163.1</c:v>
                </c:pt>
                <c:pt idx="206">
                  <c:v>163.2</c:v>
                </c:pt>
                <c:pt idx="207">
                  <c:v>163.2</c:v>
                </c:pt>
                <c:pt idx="208">
                  <c:v>163.2</c:v>
                </c:pt>
                <c:pt idx="209">
                  <c:v>163.3</c:v>
                </c:pt>
                <c:pt idx="210">
                  <c:v>163.4</c:v>
                </c:pt>
              </c:numCache>
            </c:numRef>
          </c:yVal>
          <c:smooth val="0"/>
        </c:ser>
        <c:ser>
          <c:idx val="3"/>
          <c:order val="3"/>
          <c:tx>
            <c:strRef>
              <c:f>成長曲線_データ!$J$2</c:f>
              <c:strCache>
                <c:ptCount val="1"/>
                <c:pt idx="0">
                  <c:v>-1SD</c:v>
                </c:pt>
              </c:strCache>
            </c:strRef>
          </c:tx>
          <c:spPr>
            <a:ln w="12700">
              <a:solidFill>
                <a:sysClr val="windowText" lastClr="000000"/>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成長曲線_データ!$J$4:$J$214</c:f>
              <c:numCache>
                <c:formatCode>General</c:formatCode>
                <c:ptCount val="211"/>
                <c:pt idx="0">
                  <c:v>46.3</c:v>
                </c:pt>
                <c:pt idx="1">
                  <c:v>50.5</c:v>
                </c:pt>
                <c:pt idx="2">
                  <c:v>54.5</c:v>
                </c:pt>
                <c:pt idx="3">
                  <c:v>57.8</c:v>
                </c:pt>
                <c:pt idx="4">
                  <c:v>60.4</c:v>
                </c:pt>
                <c:pt idx="5">
                  <c:v>62.3</c:v>
                </c:pt>
                <c:pt idx="6">
                  <c:v>63.90000000000001</c:v>
                </c:pt>
                <c:pt idx="7">
                  <c:v>65.2</c:v>
                </c:pt>
                <c:pt idx="8">
                  <c:v>66.5</c:v>
                </c:pt>
                <c:pt idx="9">
                  <c:v>67.6</c:v>
                </c:pt>
                <c:pt idx="10">
                  <c:v>68.8</c:v>
                </c:pt>
                <c:pt idx="11">
                  <c:v>69.8</c:v>
                </c:pt>
                <c:pt idx="12">
                  <c:v>70.9</c:v>
                </c:pt>
                <c:pt idx="13">
                  <c:v>72.0</c:v>
                </c:pt>
                <c:pt idx="14">
                  <c:v>72.9</c:v>
                </c:pt>
                <c:pt idx="15">
                  <c:v>73.9</c:v>
                </c:pt>
                <c:pt idx="16">
                  <c:v>74.9</c:v>
                </c:pt>
                <c:pt idx="17">
                  <c:v>75.7</c:v>
                </c:pt>
                <c:pt idx="18">
                  <c:v>76.7</c:v>
                </c:pt>
                <c:pt idx="19">
                  <c:v>77.5</c:v>
                </c:pt>
                <c:pt idx="20">
                  <c:v>78.4</c:v>
                </c:pt>
                <c:pt idx="21">
                  <c:v>79.2</c:v>
                </c:pt>
                <c:pt idx="22">
                  <c:v>79.9</c:v>
                </c:pt>
                <c:pt idx="23">
                  <c:v>80.6</c:v>
                </c:pt>
                <c:pt idx="24">
                  <c:v>81.4</c:v>
                </c:pt>
                <c:pt idx="25">
                  <c:v>82.0</c:v>
                </c:pt>
                <c:pt idx="26">
                  <c:v>82.7</c:v>
                </c:pt>
                <c:pt idx="27">
                  <c:v>83.4</c:v>
                </c:pt>
                <c:pt idx="28">
                  <c:v>84.0</c:v>
                </c:pt>
                <c:pt idx="29">
                  <c:v>84.60000000000001</c:v>
                </c:pt>
                <c:pt idx="30">
                  <c:v>85.30000000000001</c:v>
                </c:pt>
                <c:pt idx="31">
                  <c:v>85.8</c:v>
                </c:pt>
                <c:pt idx="32">
                  <c:v>86.4</c:v>
                </c:pt>
                <c:pt idx="33">
                  <c:v>87.0</c:v>
                </c:pt>
                <c:pt idx="34">
                  <c:v>87.60000000000001</c:v>
                </c:pt>
                <c:pt idx="35">
                  <c:v>88.3</c:v>
                </c:pt>
                <c:pt idx="36">
                  <c:v>88.8</c:v>
                </c:pt>
                <c:pt idx="37">
                  <c:v>89.4</c:v>
                </c:pt>
                <c:pt idx="38">
                  <c:v>90.1</c:v>
                </c:pt>
                <c:pt idx="39">
                  <c:v>90.6</c:v>
                </c:pt>
                <c:pt idx="40">
                  <c:v>91.2</c:v>
                </c:pt>
                <c:pt idx="41">
                  <c:v>91.8</c:v>
                </c:pt>
                <c:pt idx="42">
                  <c:v>92.30000000000001</c:v>
                </c:pt>
                <c:pt idx="43">
                  <c:v>92.9</c:v>
                </c:pt>
                <c:pt idx="44">
                  <c:v>93.5</c:v>
                </c:pt>
                <c:pt idx="45">
                  <c:v>94.0</c:v>
                </c:pt>
                <c:pt idx="46">
                  <c:v>94.6</c:v>
                </c:pt>
                <c:pt idx="47">
                  <c:v>95.10000000000001</c:v>
                </c:pt>
                <c:pt idx="48">
                  <c:v>95.7</c:v>
                </c:pt>
                <c:pt idx="49">
                  <c:v>96.2</c:v>
                </c:pt>
                <c:pt idx="50">
                  <c:v>96.69999999999998</c:v>
                </c:pt>
                <c:pt idx="51">
                  <c:v>97.3</c:v>
                </c:pt>
                <c:pt idx="52">
                  <c:v>97.8</c:v>
                </c:pt>
                <c:pt idx="53">
                  <c:v>98.3</c:v>
                </c:pt>
                <c:pt idx="54">
                  <c:v>98.8</c:v>
                </c:pt>
                <c:pt idx="55">
                  <c:v>99.4</c:v>
                </c:pt>
                <c:pt idx="56">
                  <c:v>99.80000000000001</c:v>
                </c:pt>
                <c:pt idx="57">
                  <c:v>100.4</c:v>
                </c:pt>
                <c:pt idx="58">
                  <c:v>100.9</c:v>
                </c:pt>
                <c:pt idx="59">
                  <c:v>101.4</c:v>
                </c:pt>
                <c:pt idx="60">
                  <c:v>102.0</c:v>
                </c:pt>
                <c:pt idx="61">
                  <c:v>102.4</c:v>
                </c:pt>
                <c:pt idx="62">
                  <c:v>103.0</c:v>
                </c:pt>
                <c:pt idx="63">
                  <c:v>103.5</c:v>
                </c:pt>
                <c:pt idx="64">
                  <c:v>104.0</c:v>
                </c:pt>
                <c:pt idx="65">
                  <c:v>104.5</c:v>
                </c:pt>
                <c:pt idx="66">
                  <c:v>105.1</c:v>
                </c:pt>
                <c:pt idx="67">
                  <c:v>105.5</c:v>
                </c:pt>
                <c:pt idx="68">
                  <c:v>106.1</c:v>
                </c:pt>
                <c:pt idx="69">
                  <c:v>106.6</c:v>
                </c:pt>
                <c:pt idx="70">
                  <c:v>107.0</c:v>
                </c:pt>
                <c:pt idx="71">
                  <c:v>107.6</c:v>
                </c:pt>
                <c:pt idx="72">
                  <c:v>108.1</c:v>
                </c:pt>
                <c:pt idx="73">
                  <c:v>108.6</c:v>
                </c:pt>
                <c:pt idx="74">
                  <c:v>109.1</c:v>
                </c:pt>
                <c:pt idx="75">
                  <c:v>109.5</c:v>
                </c:pt>
                <c:pt idx="76">
                  <c:v>109.9</c:v>
                </c:pt>
                <c:pt idx="77">
                  <c:v>110.4</c:v>
                </c:pt>
                <c:pt idx="78">
                  <c:v>110.9</c:v>
                </c:pt>
                <c:pt idx="79">
                  <c:v>111.4</c:v>
                </c:pt>
                <c:pt idx="80">
                  <c:v>111.9</c:v>
                </c:pt>
                <c:pt idx="81">
                  <c:v>112.4</c:v>
                </c:pt>
                <c:pt idx="82">
                  <c:v>112.8</c:v>
                </c:pt>
                <c:pt idx="83">
                  <c:v>113.3</c:v>
                </c:pt>
                <c:pt idx="84">
                  <c:v>113.8</c:v>
                </c:pt>
                <c:pt idx="85">
                  <c:v>114.2</c:v>
                </c:pt>
                <c:pt idx="86">
                  <c:v>114.7</c:v>
                </c:pt>
                <c:pt idx="87">
                  <c:v>115.1</c:v>
                </c:pt>
                <c:pt idx="88">
                  <c:v>115.6</c:v>
                </c:pt>
                <c:pt idx="89">
                  <c:v>116.1</c:v>
                </c:pt>
                <c:pt idx="90">
                  <c:v>116.6</c:v>
                </c:pt>
                <c:pt idx="91">
                  <c:v>117.0</c:v>
                </c:pt>
                <c:pt idx="92">
                  <c:v>117.5</c:v>
                </c:pt>
                <c:pt idx="93">
                  <c:v>118.0</c:v>
                </c:pt>
                <c:pt idx="94">
                  <c:v>118.3</c:v>
                </c:pt>
                <c:pt idx="95">
                  <c:v>118.8</c:v>
                </c:pt>
                <c:pt idx="96">
                  <c:v>119.2</c:v>
                </c:pt>
                <c:pt idx="97">
                  <c:v>119.7</c:v>
                </c:pt>
                <c:pt idx="98">
                  <c:v>120.2</c:v>
                </c:pt>
                <c:pt idx="99">
                  <c:v>120.6</c:v>
                </c:pt>
                <c:pt idx="100">
                  <c:v>121.0</c:v>
                </c:pt>
                <c:pt idx="101">
                  <c:v>121.5</c:v>
                </c:pt>
                <c:pt idx="102">
                  <c:v>121.9</c:v>
                </c:pt>
                <c:pt idx="103">
                  <c:v>122.4</c:v>
                </c:pt>
                <c:pt idx="104">
                  <c:v>122.8</c:v>
                </c:pt>
                <c:pt idx="105">
                  <c:v>123.3</c:v>
                </c:pt>
                <c:pt idx="106">
                  <c:v>123.7</c:v>
                </c:pt>
                <c:pt idx="107">
                  <c:v>124.2</c:v>
                </c:pt>
                <c:pt idx="108">
                  <c:v>124.6</c:v>
                </c:pt>
                <c:pt idx="109">
                  <c:v>125.1</c:v>
                </c:pt>
                <c:pt idx="110">
                  <c:v>125.5</c:v>
                </c:pt>
                <c:pt idx="111">
                  <c:v>126.0</c:v>
                </c:pt>
                <c:pt idx="112">
                  <c:v>126.4</c:v>
                </c:pt>
                <c:pt idx="113">
                  <c:v>126.9</c:v>
                </c:pt>
                <c:pt idx="114">
                  <c:v>127.3</c:v>
                </c:pt>
                <c:pt idx="115">
                  <c:v>127.9</c:v>
                </c:pt>
                <c:pt idx="116">
                  <c:v>128.3</c:v>
                </c:pt>
                <c:pt idx="117">
                  <c:v>128.9</c:v>
                </c:pt>
                <c:pt idx="118">
                  <c:v>129.4</c:v>
                </c:pt>
                <c:pt idx="119">
                  <c:v>129.9</c:v>
                </c:pt>
                <c:pt idx="120">
                  <c:v>130.4</c:v>
                </c:pt>
                <c:pt idx="121">
                  <c:v>131.0</c:v>
                </c:pt>
                <c:pt idx="122">
                  <c:v>131.4</c:v>
                </c:pt>
                <c:pt idx="123">
                  <c:v>132.0</c:v>
                </c:pt>
                <c:pt idx="124">
                  <c:v>132.5</c:v>
                </c:pt>
                <c:pt idx="125">
                  <c:v>133.0</c:v>
                </c:pt>
                <c:pt idx="126">
                  <c:v>133.5</c:v>
                </c:pt>
                <c:pt idx="127">
                  <c:v>134.1</c:v>
                </c:pt>
                <c:pt idx="128">
                  <c:v>134.6</c:v>
                </c:pt>
                <c:pt idx="129">
                  <c:v>135.2</c:v>
                </c:pt>
                <c:pt idx="130">
                  <c:v>135.8</c:v>
                </c:pt>
                <c:pt idx="131">
                  <c:v>136.4</c:v>
                </c:pt>
                <c:pt idx="132">
                  <c:v>137.0</c:v>
                </c:pt>
                <c:pt idx="133">
                  <c:v>137.6</c:v>
                </c:pt>
                <c:pt idx="134">
                  <c:v>138.1</c:v>
                </c:pt>
                <c:pt idx="135">
                  <c:v>138.7</c:v>
                </c:pt>
                <c:pt idx="136">
                  <c:v>139.3</c:v>
                </c:pt>
                <c:pt idx="137">
                  <c:v>139.8</c:v>
                </c:pt>
                <c:pt idx="138">
                  <c:v>140.4</c:v>
                </c:pt>
                <c:pt idx="139">
                  <c:v>140.9</c:v>
                </c:pt>
                <c:pt idx="140">
                  <c:v>141.4</c:v>
                </c:pt>
                <c:pt idx="141">
                  <c:v>141.9</c:v>
                </c:pt>
                <c:pt idx="142">
                  <c:v>142.4</c:v>
                </c:pt>
                <c:pt idx="143">
                  <c:v>142.8</c:v>
                </c:pt>
                <c:pt idx="144">
                  <c:v>143.3</c:v>
                </c:pt>
                <c:pt idx="145">
                  <c:v>143.8</c:v>
                </c:pt>
                <c:pt idx="146">
                  <c:v>144.2</c:v>
                </c:pt>
                <c:pt idx="147">
                  <c:v>144.8</c:v>
                </c:pt>
                <c:pt idx="148">
                  <c:v>145.2</c:v>
                </c:pt>
                <c:pt idx="149">
                  <c:v>145.7</c:v>
                </c:pt>
                <c:pt idx="150">
                  <c:v>146.2</c:v>
                </c:pt>
                <c:pt idx="151">
                  <c:v>146.5</c:v>
                </c:pt>
                <c:pt idx="152">
                  <c:v>146.8</c:v>
                </c:pt>
                <c:pt idx="153">
                  <c:v>147.1</c:v>
                </c:pt>
                <c:pt idx="154">
                  <c:v>147.3</c:v>
                </c:pt>
                <c:pt idx="155">
                  <c:v>147.7</c:v>
                </c:pt>
                <c:pt idx="156">
                  <c:v>147.9</c:v>
                </c:pt>
                <c:pt idx="157">
                  <c:v>148.3</c:v>
                </c:pt>
                <c:pt idx="158">
                  <c:v>148.5</c:v>
                </c:pt>
                <c:pt idx="159">
                  <c:v>148.9</c:v>
                </c:pt>
                <c:pt idx="160">
                  <c:v>149.1</c:v>
                </c:pt>
                <c:pt idx="161">
                  <c:v>149.5</c:v>
                </c:pt>
                <c:pt idx="162">
                  <c:v>149.7</c:v>
                </c:pt>
                <c:pt idx="163">
                  <c:v>149.8</c:v>
                </c:pt>
                <c:pt idx="164">
                  <c:v>150.0</c:v>
                </c:pt>
                <c:pt idx="165">
                  <c:v>150.1</c:v>
                </c:pt>
                <c:pt idx="166">
                  <c:v>150.3</c:v>
                </c:pt>
                <c:pt idx="167">
                  <c:v>150.4</c:v>
                </c:pt>
                <c:pt idx="168">
                  <c:v>150.6</c:v>
                </c:pt>
                <c:pt idx="169">
                  <c:v>150.8</c:v>
                </c:pt>
                <c:pt idx="170">
                  <c:v>150.9</c:v>
                </c:pt>
                <c:pt idx="171">
                  <c:v>151.1</c:v>
                </c:pt>
                <c:pt idx="172">
                  <c:v>151.2</c:v>
                </c:pt>
                <c:pt idx="173">
                  <c:v>151.4</c:v>
                </c:pt>
                <c:pt idx="174">
                  <c:v>151.5</c:v>
                </c:pt>
                <c:pt idx="175">
                  <c:v>151.5</c:v>
                </c:pt>
                <c:pt idx="176">
                  <c:v>151.6</c:v>
                </c:pt>
                <c:pt idx="177">
                  <c:v>151.6</c:v>
                </c:pt>
                <c:pt idx="178">
                  <c:v>151.7</c:v>
                </c:pt>
                <c:pt idx="179">
                  <c:v>151.7</c:v>
                </c:pt>
                <c:pt idx="180">
                  <c:v>151.8</c:v>
                </c:pt>
                <c:pt idx="181">
                  <c:v>151.8</c:v>
                </c:pt>
                <c:pt idx="182">
                  <c:v>151.9</c:v>
                </c:pt>
                <c:pt idx="183">
                  <c:v>152.0</c:v>
                </c:pt>
                <c:pt idx="184">
                  <c:v>152.0</c:v>
                </c:pt>
                <c:pt idx="185">
                  <c:v>152.1</c:v>
                </c:pt>
                <c:pt idx="186">
                  <c:v>152.1</c:v>
                </c:pt>
                <c:pt idx="187">
                  <c:v>152.1</c:v>
                </c:pt>
                <c:pt idx="188">
                  <c:v>152.2</c:v>
                </c:pt>
                <c:pt idx="189">
                  <c:v>152.2</c:v>
                </c:pt>
                <c:pt idx="190">
                  <c:v>152.2</c:v>
                </c:pt>
                <c:pt idx="191">
                  <c:v>152.3</c:v>
                </c:pt>
                <c:pt idx="192">
                  <c:v>152.3</c:v>
                </c:pt>
                <c:pt idx="193">
                  <c:v>152.3</c:v>
                </c:pt>
                <c:pt idx="194">
                  <c:v>152.4</c:v>
                </c:pt>
                <c:pt idx="195">
                  <c:v>152.4</c:v>
                </c:pt>
                <c:pt idx="196">
                  <c:v>152.4</c:v>
                </c:pt>
                <c:pt idx="197">
                  <c:v>152.5</c:v>
                </c:pt>
                <c:pt idx="198">
                  <c:v>152.5</c:v>
                </c:pt>
                <c:pt idx="199">
                  <c:v>152.5</c:v>
                </c:pt>
                <c:pt idx="200">
                  <c:v>152.6</c:v>
                </c:pt>
                <c:pt idx="201">
                  <c:v>152.6</c:v>
                </c:pt>
                <c:pt idx="202">
                  <c:v>152.6</c:v>
                </c:pt>
                <c:pt idx="203">
                  <c:v>152.7</c:v>
                </c:pt>
                <c:pt idx="204">
                  <c:v>152.7</c:v>
                </c:pt>
                <c:pt idx="205">
                  <c:v>152.7</c:v>
                </c:pt>
                <c:pt idx="206">
                  <c:v>152.8</c:v>
                </c:pt>
                <c:pt idx="207">
                  <c:v>152.8</c:v>
                </c:pt>
                <c:pt idx="208">
                  <c:v>152.8</c:v>
                </c:pt>
                <c:pt idx="209">
                  <c:v>152.9</c:v>
                </c:pt>
                <c:pt idx="210">
                  <c:v>152.8</c:v>
                </c:pt>
              </c:numCache>
            </c:numRef>
          </c:yVal>
          <c:smooth val="0"/>
        </c:ser>
        <c:ser>
          <c:idx val="4"/>
          <c:order val="4"/>
          <c:tx>
            <c:strRef>
              <c:f>成長曲線_データ!$K$2</c:f>
              <c:strCache>
                <c:ptCount val="1"/>
                <c:pt idx="0">
                  <c:v>-2SD</c:v>
                </c:pt>
              </c:strCache>
            </c:strRef>
          </c:tx>
          <c:spPr>
            <a:ln w="127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成長曲線_データ!$K$4:$K$214</c:f>
              <c:numCache>
                <c:formatCode>General</c:formatCode>
                <c:ptCount val="211"/>
                <c:pt idx="0">
                  <c:v>44.2</c:v>
                </c:pt>
                <c:pt idx="1">
                  <c:v>48.4</c:v>
                </c:pt>
                <c:pt idx="2">
                  <c:v>52.3</c:v>
                </c:pt>
                <c:pt idx="3">
                  <c:v>55.6</c:v>
                </c:pt>
                <c:pt idx="4">
                  <c:v>58.2</c:v>
                </c:pt>
                <c:pt idx="5">
                  <c:v>6</c:v>
                </c:pt>
                <c:pt idx="6">
                  <c:v>61.6</c:v>
                </c:pt>
                <c:pt idx="7">
                  <c:v>62.9</c:v>
                </c:pt>
                <c:pt idx="8">
                  <c:v>64.10000000000001</c:v>
                </c:pt>
                <c:pt idx="9">
                  <c:v>65.2</c:v>
                </c:pt>
                <c:pt idx="10">
                  <c:v>66.4</c:v>
                </c:pt>
                <c:pt idx="11">
                  <c:v>67.3</c:v>
                </c:pt>
                <c:pt idx="12">
                  <c:v>68.4</c:v>
                </c:pt>
                <c:pt idx="13">
                  <c:v>69.5</c:v>
                </c:pt>
                <c:pt idx="14">
                  <c:v>70.3</c:v>
                </c:pt>
                <c:pt idx="15">
                  <c:v>71.3</c:v>
                </c:pt>
                <c:pt idx="16">
                  <c:v>72.3</c:v>
                </c:pt>
                <c:pt idx="17">
                  <c:v>73.0</c:v>
                </c:pt>
                <c:pt idx="18">
                  <c:v>74.0</c:v>
                </c:pt>
                <c:pt idx="19">
                  <c:v>74.7</c:v>
                </c:pt>
                <c:pt idx="20">
                  <c:v>75.60000000000001</c:v>
                </c:pt>
                <c:pt idx="21">
                  <c:v>76.4</c:v>
                </c:pt>
                <c:pt idx="22">
                  <c:v>77.0</c:v>
                </c:pt>
                <c:pt idx="23">
                  <c:v>77.7</c:v>
                </c:pt>
                <c:pt idx="24">
                  <c:v>78.5</c:v>
                </c:pt>
                <c:pt idx="25">
                  <c:v>79.0</c:v>
                </c:pt>
                <c:pt idx="26">
                  <c:v>79.7</c:v>
                </c:pt>
                <c:pt idx="27">
                  <c:v>80.4</c:v>
                </c:pt>
                <c:pt idx="28">
                  <c:v>80.9</c:v>
                </c:pt>
                <c:pt idx="29">
                  <c:v>81.5</c:v>
                </c:pt>
                <c:pt idx="30">
                  <c:v>82.2</c:v>
                </c:pt>
                <c:pt idx="31">
                  <c:v>82.6</c:v>
                </c:pt>
                <c:pt idx="32">
                  <c:v>83.19999999999998</c:v>
                </c:pt>
                <c:pt idx="33">
                  <c:v>83.7</c:v>
                </c:pt>
                <c:pt idx="34">
                  <c:v>84.30000000000001</c:v>
                </c:pt>
                <c:pt idx="35">
                  <c:v>85.0</c:v>
                </c:pt>
                <c:pt idx="36">
                  <c:v>85.4</c:v>
                </c:pt>
                <c:pt idx="37">
                  <c:v>86.0</c:v>
                </c:pt>
                <c:pt idx="38">
                  <c:v>86.7</c:v>
                </c:pt>
                <c:pt idx="39">
                  <c:v>87.1</c:v>
                </c:pt>
                <c:pt idx="40">
                  <c:v>87.7</c:v>
                </c:pt>
                <c:pt idx="41">
                  <c:v>88.3</c:v>
                </c:pt>
                <c:pt idx="42">
                  <c:v>88.7</c:v>
                </c:pt>
                <c:pt idx="43">
                  <c:v>89.3</c:v>
                </c:pt>
                <c:pt idx="44">
                  <c:v>89.9</c:v>
                </c:pt>
                <c:pt idx="45">
                  <c:v>90.3</c:v>
                </c:pt>
                <c:pt idx="46">
                  <c:v>90.9</c:v>
                </c:pt>
                <c:pt idx="47">
                  <c:v>91.30000000000001</c:v>
                </c:pt>
                <c:pt idx="48">
                  <c:v>91.9</c:v>
                </c:pt>
                <c:pt idx="49">
                  <c:v>92.4</c:v>
                </c:pt>
                <c:pt idx="50">
                  <c:v>92.8</c:v>
                </c:pt>
                <c:pt idx="51">
                  <c:v>93.4</c:v>
                </c:pt>
                <c:pt idx="52">
                  <c:v>93.9</c:v>
                </c:pt>
                <c:pt idx="53">
                  <c:v>94.3</c:v>
                </c:pt>
                <c:pt idx="54">
                  <c:v>94.8</c:v>
                </c:pt>
                <c:pt idx="55">
                  <c:v>95.4</c:v>
                </c:pt>
                <c:pt idx="56">
                  <c:v>95.7</c:v>
                </c:pt>
                <c:pt idx="57">
                  <c:v>96.3</c:v>
                </c:pt>
                <c:pt idx="58">
                  <c:v>96.8</c:v>
                </c:pt>
                <c:pt idx="59">
                  <c:v>97.19999999999998</c:v>
                </c:pt>
                <c:pt idx="60">
                  <c:v>97.8</c:v>
                </c:pt>
                <c:pt idx="61">
                  <c:v>98.10000000000001</c:v>
                </c:pt>
                <c:pt idx="62">
                  <c:v>98.7</c:v>
                </c:pt>
                <c:pt idx="63">
                  <c:v>99.2</c:v>
                </c:pt>
                <c:pt idx="64">
                  <c:v>99.60000000000001</c:v>
                </c:pt>
                <c:pt idx="65">
                  <c:v>100.1</c:v>
                </c:pt>
                <c:pt idx="66">
                  <c:v>100.7</c:v>
                </c:pt>
                <c:pt idx="67">
                  <c:v>101.0</c:v>
                </c:pt>
                <c:pt idx="68">
                  <c:v>101.6</c:v>
                </c:pt>
                <c:pt idx="69">
                  <c:v>102.1</c:v>
                </c:pt>
                <c:pt idx="70">
                  <c:v>102.4</c:v>
                </c:pt>
                <c:pt idx="71">
                  <c:v>103.0</c:v>
                </c:pt>
                <c:pt idx="72">
                  <c:v>103.5</c:v>
                </c:pt>
                <c:pt idx="73">
                  <c:v>103.9</c:v>
                </c:pt>
                <c:pt idx="74">
                  <c:v>104.4</c:v>
                </c:pt>
                <c:pt idx="75">
                  <c:v>104.9</c:v>
                </c:pt>
                <c:pt idx="76">
                  <c:v>105.2</c:v>
                </c:pt>
                <c:pt idx="77">
                  <c:v>105.6</c:v>
                </c:pt>
                <c:pt idx="78">
                  <c:v>106.0</c:v>
                </c:pt>
                <c:pt idx="79">
                  <c:v>106.5</c:v>
                </c:pt>
                <c:pt idx="80">
                  <c:v>107.0</c:v>
                </c:pt>
                <c:pt idx="81">
                  <c:v>107.5</c:v>
                </c:pt>
                <c:pt idx="82">
                  <c:v>107.8</c:v>
                </c:pt>
                <c:pt idx="83">
                  <c:v>108.3</c:v>
                </c:pt>
                <c:pt idx="84">
                  <c:v>108.8</c:v>
                </c:pt>
                <c:pt idx="85">
                  <c:v>109.2</c:v>
                </c:pt>
                <c:pt idx="86">
                  <c:v>109.7</c:v>
                </c:pt>
                <c:pt idx="87">
                  <c:v>110.0</c:v>
                </c:pt>
                <c:pt idx="88">
                  <c:v>110.5</c:v>
                </c:pt>
                <c:pt idx="89">
                  <c:v>111.0</c:v>
                </c:pt>
                <c:pt idx="90">
                  <c:v>111.5</c:v>
                </c:pt>
                <c:pt idx="91">
                  <c:v>111.8</c:v>
                </c:pt>
                <c:pt idx="92">
                  <c:v>112.3</c:v>
                </c:pt>
                <c:pt idx="93">
                  <c:v>112.8</c:v>
                </c:pt>
                <c:pt idx="94">
                  <c:v>113.0</c:v>
                </c:pt>
                <c:pt idx="95">
                  <c:v>113.5</c:v>
                </c:pt>
                <c:pt idx="96">
                  <c:v>113.8</c:v>
                </c:pt>
                <c:pt idx="97">
                  <c:v>114.3</c:v>
                </c:pt>
                <c:pt idx="98">
                  <c:v>114.8</c:v>
                </c:pt>
                <c:pt idx="99">
                  <c:v>115.1</c:v>
                </c:pt>
                <c:pt idx="100">
                  <c:v>115.5</c:v>
                </c:pt>
                <c:pt idx="101">
                  <c:v>116.0</c:v>
                </c:pt>
                <c:pt idx="102">
                  <c:v>116.3</c:v>
                </c:pt>
                <c:pt idx="103">
                  <c:v>116.8</c:v>
                </c:pt>
                <c:pt idx="104">
                  <c:v>117.1</c:v>
                </c:pt>
                <c:pt idx="105">
                  <c:v>117.6</c:v>
                </c:pt>
                <c:pt idx="106">
                  <c:v>117.9</c:v>
                </c:pt>
                <c:pt idx="107">
                  <c:v>118.4</c:v>
                </c:pt>
                <c:pt idx="108">
                  <c:v>118.7</c:v>
                </c:pt>
                <c:pt idx="109">
                  <c:v>119.2</c:v>
                </c:pt>
                <c:pt idx="110">
                  <c:v>119.5</c:v>
                </c:pt>
                <c:pt idx="111">
                  <c:v>120.0</c:v>
                </c:pt>
                <c:pt idx="112">
                  <c:v>120.3</c:v>
                </c:pt>
                <c:pt idx="113">
                  <c:v>120.8</c:v>
                </c:pt>
                <c:pt idx="114">
                  <c:v>121.1</c:v>
                </c:pt>
                <c:pt idx="115">
                  <c:v>121.7</c:v>
                </c:pt>
                <c:pt idx="116">
                  <c:v>122.0</c:v>
                </c:pt>
                <c:pt idx="117">
                  <c:v>122.6</c:v>
                </c:pt>
                <c:pt idx="118">
                  <c:v>123.0</c:v>
                </c:pt>
                <c:pt idx="119">
                  <c:v>123.5</c:v>
                </c:pt>
                <c:pt idx="120">
                  <c:v>123.9</c:v>
                </c:pt>
                <c:pt idx="121">
                  <c:v>124.5</c:v>
                </c:pt>
                <c:pt idx="122">
                  <c:v>124.8</c:v>
                </c:pt>
                <c:pt idx="123">
                  <c:v>125.4</c:v>
                </c:pt>
                <c:pt idx="124">
                  <c:v>125.8</c:v>
                </c:pt>
                <c:pt idx="125">
                  <c:v>126.3</c:v>
                </c:pt>
                <c:pt idx="126">
                  <c:v>126.7</c:v>
                </c:pt>
                <c:pt idx="127">
                  <c:v>127.3</c:v>
                </c:pt>
                <c:pt idx="128">
                  <c:v>127.8</c:v>
                </c:pt>
                <c:pt idx="129">
                  <c:v>128.4</c:v>
                </c:pt>
                <c:pt idx="130">
                  <c:v>129.0</c:v>
                </c:pt>
                <c:pt idx="131">
                  <c:v>129.7</c:v>
                </c:pt>
                <c:pt idx="132">
                  <c:v>130.3</c:v>
                </c:pt>
                <c:pt idx="133">
                  <c:v>130.9</c:v>
                </c:pt>
                <c:pt idx="134">
                  <c:v>131.4</c:v>
                </c:pt>
                <c:pt idx="135">
                  <c:v>132.0</c:v>
                </c:pt>
                <c:pt idx="136">
                  <c:v>132.6</c:v>
                </c:pt>
                <c:pt idx="137">
                  <c:v>133.1</c:v>
                </c:pt>
                <c:pt idx="138">
                  <c:v>133.7</c:v>
                </c:pt>
                <c:pt idx="139">
                  <c:v>134.3</c:v>
                </c:pt>
                <c:pt idx="140">
                  <c:v>134.9</c:v>
                </c:pt>
                <c:pt idx="141">
                  <c:v>135.4</c:v>
                </c:pt>
                <c:pt idx="142">
                  <c:v>136.0</c:v>
                </c:pt>
                <c:pt idx="143">
                  <c:v>136.4</c:v>
                </c:pt>
                <c:pt idx="144">
                  <c:v>137.0</c:v>
                </c:pt>
                <c:pt idx="145">
                  <c:v>137.6</c:v>
                </c:pt>
                <c:pt idx="146">
                  <c:v>138.0</c:v>
                </c:pt>
                <c:pt idx="147">
                  <c:v>138.7</c:v>
                </c:pt>
                <c:pt idx="148">
                  <c:v>139.1</c:v>
                </c:pt>
                <c:pt idx="149">
                  <c:v>139.7</c:v>
                </c:pt>
                <c:pt idx="150">
                  <c:v>140.3</c:v>
                </c:pt>
                <c:pt idx="151">
                  <c:v>140.6</c:v>
                </c:pt>
                <c:pt idx="152">
                  <c:v>141.0</c:v>
                </c:pt>
                <c:pt idx="153">
                  <c:v>141.3</c:v>
                </c:pt>
                <c:pt idx="154">
                  <c:v>141.5</c:v>
                </c:pt>
                <c:pt idx="155">
                  <c:v>142.0</c:v>
                </c:pt>
                <c:pt idx="156">
                  <c:v>142.2</c:v>
                </c:pt>
                <c:pt idx="157">
                  <c:v>142.7</c:v>
                </c:pt>
                <c:pt idx="158">
                  <c:v>142.9</c:v>
                </c:pt>
                <c:pt idx="159">
                  <c:v>143.4</c:v>
                </c:pt>
                <c:pt idx="160">
                  <c:v>143.6</c:v>
                </c:pt>
                <c:pt idx="161">
                  <c:v>144.1</c:v>
                </c:pt>
                <c:pt idx="162">
                  <c:v>144.3</c:v>
                </c:pt>
                <c:pt idx="163">
                  <c:v>144.4</c:v>
                </c:pt>
                <c:pt idx="164">
                  <c:v>144.6</c:v>
                </c:pt>
                <c:pt idx="165">
                  <c:v>144.7</c:v>
                </c:pt>
                <c:pt idx="166">
                  <c:v>144.9</c:v>
                </c:pt>
                <c:pt idx="167">
                  <c:v>145.0</c:v>
                </c:pt>
                <c:pt idx="168">
                  <c:v>145.2</c:v>
                </c:pt>
                <c:pt idx="169">
                  <c:v>145.5</c:v>
                </c:pt>
                <c:pt idx="170">
                  <c:v>145.6</c:v>
                </c:pt>
                <c:pt idx="171">
                  <c:v>145.8</c:v>
                </c:pt>
                <c:pt idx="172">
                  <c:v>145.9</c:v>
                </c:pt>
                <c:pt idx="173">
                  <c:v>146.1</c:v>
                </c:pt>
                <c:pt idx="174">
                  <c:v>146.2</c:v>
                </c:pt>
                <c:pt idx="175">
                  <c:v>146.2</c:v>
                </c:pt>
                <c:pt idx="176">
                  <c:v>146.3</c:v>
                </c:pt>
                <c:pt idx="177">
                  <c:v>146.3</c:v>
                </c:pt>
                <c:pt idx="178">
                  <c:v>146.4</c:v>
                </c:pt>
                <c:pt idx="179">
                  <c:v>146.4</c:v>
                </c:pt>
                <c:pt idx="180">
                  <c:v>146.5</c:v>
                </c:pt>
                <c:pt idx="181">
                  <c:v>146.5</c:v>
                </c:pt>
                <c:pt idx="182">
                  <c:v>146.7</c:v>
                </c:pt>
                <c:pt idx="183">
                  <c:v>146.8</c:v>
                </c:pt>
                <c:pt idx="184">
                  <c:v>146.8</c:v>
                </c:pt>
                <c:pt idx="185">
                  <c:v>146.9</c:v>
                </c:pt>
                <c:pt idx="186">
                  <c:v>146.9</c:v>
                </c:pt>
                <c:pt idx="187">
                  <c:v>146.9</c:v>
                </c:pt>
                <c:pt idx="188">
                  <c:v>147.0</c:v>
                </c:pt>
                <c:pt idx="189">
                  <c:v>147.0</c:v>
                </c:pt>
                <c:pt idx="190">
                  <c:v>147.0</c:v>
                </c:pt>
                <c:pt idx="191">
                  <c:v>147.1</c:v>
                </c:pt>
                <c:pt idx="192">
                  <c:v>147.1</c:v>
                </c:pt>
                <c:pt idx="193">
                  <c:v>147.1</c:v>
                </c:pt>
                <c:pt idx="194">
                  <c:v>147.2</c:v>
                </c:pt>
                <c:pt idx="195">
                  <c:v>147.2</c:v>
                </c:pt>
                <c:pt idx="196">
                  <c:v>147.2</c:v>
                </c:pt>
                <c:pt idx="197">
                  <c:v>147.3</c:v>
                </c:pt>
                <c:pt idx="198">
                  <c:v>147.3</c:v>
                </c:pt>
                <c:pt idx="199">
                  <c:v>147.3</c:v>
                </c:pt>
                <c:pt idx="200">
                  <c:v>147.4</c:v>
                </c:pt>
                <c:pt idx="201">
                  <c:v>147.4</c:v>
                </c:pt>
                <c:pt idx="202">
                  <c:v>147.4</c:v>
                </c:pt>
                <c:pt idx="203">
                  <c:v>147.5</c:v>
                </c:pt>
                <c:pt idx="204">
                  <c:v>147.5</c:v>
                </c:pt>
                <c:pt idx="205">
                  <c:v>147.5</c:v>
                </c:pt>
                <c:pt idx="206">
                  <c:v>147.6</c:v>
                </c:pt>
                <c:pt idx="207">
                  <c:v>147.6</c:v>
                </c:pt>
                <c:pt idx="208">
                  <c:v>147.6</c:v>
                </c:pt>
                <c:pt idx="209">
                  <c:v>147.7</c:v>
                </c:pt>
                <c:pt idx="210">
                  <c:v>147.5</c:v>
                </c:pt>
              </c:numCache>
            </c:numRef>
          </c:yVal>
          <c:smooth val="0"/>
        </c:ser>
        <c:ser>
          <c:idx val="5"/>
          <c:order val="5"/>
          <c:tx>
            <c:strRef>
              <c:f>成長曲線_データ!$L$2</c:f>
              <c:strCache>
                <c:ptCount val="1"/>
                <c:pt idx="0">
                  <c:v>-2.5SD</c:v>
                </c:pt>
              </c:strCache>
            </c:strRef>
          </c:tx>
          <c:spPr>
            <a:ln w="12700">
              <a:solidFill>
                <a:sysClr val="windowText" lastClr="000000"/>
              </a:solidFill>
              <a:prstDash val="dash"/>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成長曲線_データ!$L$4:$L$214</c:f>
              <c:numCache>
                <c:formatCode>General</c:formatCode>
                <c:ptCount val="211"/>
                <c:pt idx="0">
                  <c:v>43.15</c:v>
                </c:pt>
                <c:pt idx="1">
                  <c:v>47.35</c:v>
                </c:pt>
                <c:pt idx="2">
                  <c:v>51.2</c:v>
                </c:pt>
                <c:pt idx="3">
                  <c:v>54.5</c:v>
                </c:pt>
                <c:pt idx="4">
                  <c:v>57.1</c:v>
                </c:pt>
                <c:pt idx="5">
                  <c:v>58.85</c:v>
                </c:pt>
                <c:pt idx="6">
                  <c:v>60.45</c:v>
                </c:pt>
                <c:pt idx="7">
                  <c:v>61.75</c:v>
                </c:pt>
                <c:pt idx="8">
                  <c:v>62.90000000000001</c:v>
                </c:pt>
                <c:pt idx="9">
                  <c:v>64.0</c:v>
                </c:pt>
                <c:pt idx="10">
                  <c:v>65.2</c:v>
                </c:pt>
                <c:pt idx="11">
                  <c:v>66.05</c:v>
                </c:pt>
                <c:pt idx="12">
                  <c:v>67.15000000000001</c:v>
                </c:pt>
                <c:pt idx="13">
                  <c:v>68.25</c:v>
                </c:pt>
                <c:pt idx="14">
                  <c:v>69.0</c:v>
                </c:pt>
                <c:pt idx="15">
                  <c:v>70.0</c:v>
                </c:pt>
                <c:pt idx="16">
                  <c:v>71.0</c:v>
                </c:pt>
                <c:pt idx="17">
                  <c:v>71.65000000000001</c:v>
                </c:pt>
                <c:pt idx="18">
                  <c:v>72.65000000000001</c:v>
                </c:pt>
                <c:pt idx="19">
                  <c:v>73.3</c:v>
                </c:pt>
                <c:pt idx="20">
                  <c:v>74.2</c:v>
                </c:pt>
                <c:pt idx="21">
                  <c:v>75.0</c:v>
                </c:pt>
                <c:pt idx="22">
                  <c:v>75.55</c:v>
                </c:pt>
                <c:pt idx="23">
                  <c:v>76.25</c:v>
                </c:pt>
                <c:pt idx="24">
                  <c:v>77.05</c:v>
                </c:pt>
                <c:pt idx="25">
                  <c:v>77.5</c:v>
                </c:pt>
                <c:pt idx="26">
                  <c:v>78.2</c:v>
                </c:pt>
                <c:pt idx="27">
                  <c:v>78.9</c:v>
                </c:pt>
                <c:pt idx="28">
                  <c:v>79.35</c:v>
                </c:pt>
                <c:pt idx="29">
                  <c:v>79.95</c:v>
                </c:pt>
                <c:pt idx="30">
                  <c:v>80.65000000000001</c:v>
                </c:pt>
                <c:pt idx="31">
                  <c:v>81.0</c:v>
                </c:pt>
                <c:pt idx="32">
                  <c:v>81.6</c:v>
                </c:pt>
                <c:pt idx="33">
                  <c:v>82.05</c:v>
                </c:pt>
                <c:pt idx="34">
                  <c:v>82.65000000000001</c:v>
                </c:pt>
                <c:pt idx="35">
                  <c:v>83.35</c:v>
                </c:pt>
                <c:pt idx="36">
                  <c:v>83.7</c:v>
                </c:pt>
                <c:pt idx="37">
                  <c:v>84.3</c:v>
                </c:pt>
                <c:pt idx="38">
                  <c:v>85.0</c:v>
                </c:pt>
                <c:pt idx="39">
                  <c:v>85.35</c:v>
                </c:pt>
                <c:pt idx="40">
                  <c:v>85.95</c:v>
                </c:pt>
                <c:pt idx="41">
                  <c:v>86.55</c:v>
                </c:pt>
                <c:pt idx="42">
                  <c:v>86.9</c:v>
                </c:pt>
                <c:pt idx="43">
                  <c:v>87.5</c:v>
                </c:pt>
                <c:pt idx="44">
                  <c:v>88.1</c:v>
                </c:pt>
                <c:pt idx="45">
                  <c:v>88.45</c:v>
                </c:pt>
                <c:pt idx="46">
                  <c:v>89.05</c:v>
                </c:pt>
                <c:pt idx="47">
                  <c:v>89.4</c:v>
                </c:pt>
                <c:pt idx="48">
                  <c:v>90.0</c:v>
                </c:pt>
                <c:pt idx="49">
                  <c:v>90.5</c:v>
                </c:pt>
                <c:pt idx="50">
                  <c:v>90.85</c:v>
                </c:pt>
                <c:pt idx="51">
                  <c:v>91.45</c:v>
                </c:pt>
                <c:pt idx="52">
                  <c:v>91.95</c:v>
                </c:pt>
                <c:pt idx="53">
                  <c:v>92.3</c:v>
                </c:pt>
                <c:pt idx="54">
                  <c:v>92.8</c:v>
                </c:pt>
                <c:pt idx="55">
                  <c:v>93.4</c:v>
                </c:pt>
                <c:pt idx="56">
                  <c:v>93.65000000000001</c:v>
                </c:pt>
                <c:pt idx="57">
                  <c:v>94.25</c:v>
                </c:pt>
                <c:pt idx="58">
                  <c:v>94.75</c:v>
                </c:pt>
                <c:pt idx="59">
                  <c:v>95.1</c:v>
                </c:pt>
                <c:pt idx="60">
                  <c:v>95.7</c:v>
                </c:pt>
                <c:pt idx="61">
                  <c:v>95.95</c:v>
                </c:pt>
                <c:pt idx="62">
                  <c:v>96.55</c:v>
                </c:pt>
                <c:pt idx="63">
                  <c:v>97.05</c:v>
                </c:pt>
                <c:pt idx="64">
                  <c:v>97.4</c:v>
                </c:pt>
                <c:pt idx="65">
                  <c:v>97.9</c:v>
                </c:pt>
                <c:pt idx="66">
                  <c:v>98.5</c:v>
                </c:pt>
                <c:pt idx="67">
                  <c:v>98.75</c:v>
                </c:pt>
                <c:pt idx="68">
                  <c:v>99.35</c:v>
                </c:pt>
                <c:pt idx="69">
                  <c:v>99.85</c:v>
                </c:pt>
                <c:pt idx="70">
                  <c:v>100.1</c:v>
                </c:pt>
                <c:pt idx="71">
                  <c:v>100.7</c:v>
                </c:pt>
                <c:pt idx="72">
                  <c:v>101.2</c:v>
                </c:pt>
                <c:pt idx="73">
                  <c:v>101.55</c:v>
                </c:pt>
                <c:pt idx="74">
                  <c:v>102.05</c:v>
                </c:pt>
                <c:pt idx="75">
                  <c:v>102.6</c:v>
                </c:pt>
                <c:pt idx="76">
                  <c:v>102.85</c:v>
                </c:pt>
                <c:pt idx="77">
                  <c:v>103.2</c:v>
                </c:pt>
                <c:pt idx="78">
                  <c:v>103.55</c:v>
                </c:pt>
                <c:pt idx="79">
                  <c:v>104.05</c:v>
                </c:pt>
                <c:pt idx="80">
                  <c:v>104.55</c:v>
                </c:pt>
                <c:pt idx="81">
                  <c:v>105.05</c:v>
                </c:pt>
                <c:pt idx="82">
                  <c:v>105.3</c:v>
                </c:pt>
                <c:pt idx="83">
                  <c:v>105.8</c:v>
                </c:pt>
                <c:pt idx="84">
                  <c:v>106.3</c:v>
                </c:pt>
                <c:pt idx="85">
                  <c:v>106.7</c:v>
                </c:pt>
                <c:pt idx="86">
                  <c:v>107.2</c:v>
                </c:pt>
                <c:pt idx="87">
                  <c:v>107.45</c:v>
                </c:pt>
                <c:pt idx="88">
                  <c:v>107.95</c:v>
                </c:pt>
                <c:pt idx="89">
                  <c:v>108.45</c:v>
                </c:pt>
                <c:pt idx="90">
                  <c:v>108.95</c:v>
                </c:pt>
                <c:pt idx="91">
                  <c:v>109.2</c:v>
                </c:pt>
                <c:pt idx="92">
                  <c:v>109.7</c:v>
                </c:pt>
                <c:pt idx="93">
                  <c:v>110.2</c:v>
                </c:pt>
                <c:pt idx="94">
                  <c:v>110.35</c:v>
                </c:pt>
                <c:pt idx="95">
                  <c:v>110.85</c:v>
                </c:pt>
                <c:pt idx="96">
                  <c:v>111.1</c:v>
                </c:pt>
                <c:pt idx="97">
                  <c:v>111.6</c:v>
                </c:pt>
                <c:pt idx="98">
                  <c:v>112.1</c:v>
                </c:pt>
                <c:pt idx="99">
                  <c:v>112.35</c:v>
                </c:pt>
                <c:pt idx="100">
                  <c:v>112.75</c:v>
                </c:pt>
                <c:pt idx="101">
                  <c:v>113.25</c:v>
                </c:pt>
                <c:pt idx="102">
                  <c:v>113.5</c:v>
                </c:pt>
                <c:pt idx="103">
                  <c:v>114.0</c:v>
                </c:pt>
                <c:pt idx="104">
                  <c:v>114.25</c:v>
                </c:pt>
                <c:pt idx="105">
                  <c:v>114.75</c:v>
                </c:pt>
                <c:pt idx="106">
                  <c:v>115.0</c:v>
                </c:pt>
                <c:pt idx="107">
                  <c:v>115.5</c:v>
                </c:pt>
                <c:pt idx="108">
                  <c:v>115.75</c:v>
                </c:pt>
                <c:pt idx="109">
                  <c:v>116.25</c:v>
                </c:pt>
                <c:pt idx="110">
                  <c:v>116.5</c:v>
                </c:pt>
                <c:pt idx="111">
                  <c:v>117.0</c:v>
                </c:pt>
                <c:pt idx="112">
                  <c:v>117.25</c:v>
                </c:pt>
                <c:pt idx="113">
                  <c:v>117.75</c:v>
                </c:pt>
                <c:pt idx="114">
                  <c:v>118.0</c:v>
                </c:pt>
                <c:pt idx="115">
                  <c:v>118.6</c:v>
                </c:pt>
                <c:pt idx="116">
                  <c:v>118.85</c:v>
                </c:pt>
                <c:pt idx="117">
                  <c:v>119.45</c:v>
                </c:pt>
                <c:pt idx="118">
                  <c:v>119.8</c:v>
                </c:pt>
                <c:pt idx="119">
                  <c:v>120.3</c:v>
                </c:pt>
                <c:pt idx="120">
                  <c:v>120.65</c:v>
                </c:pt>
                <c:pt idx="121">
                  <c:v>121.25</c:v>
                </c:pt>
                <c:pt idx="122">
                  <c:v>121.5</c:v>
                </c:pt>
                <c:pt idx="123">
                  <c:v>122.1</c:v>
                </c:pt>
                <c:pt idx="124">
                  <c:v>122.45</c:v>
                </c:pt>
                <c:pt idx="125">
                  <c:v>122.95</c:v>
                </c:pt>
                <c:pt idx="126">
                  <c:v>123.3</c:v>
                </c:pt>
                <c:pt idx="127">
                  <c:v>123.9</c:v>
                </c:pt>
                <c:pt idx="128">
                  <c:v>124.4</c:v>
                </c:pt>
                <c:pt idx="129">
                  <c:v>125.0</c:v>
                </c:pt>
                <c:pt idx="130">
                  <c:v>125.6</c:v>
                </c:pt>
                <c:pt idx="131">
                  <c:v>126.35</c:v>
                </c:pt>
                <c:pt idx="132">
                  <c:v>126.95</c:v>
                </c:pt>
                <c:pt idx="133">
                  <c:v>127.55</c:v>
                </c:pt>
                <c:pt idx="134">
                  <c:v>128.05</c:v>
                </c:pt>
                <c:pt idx="135">
                  <c:v>128.65</c:v>
                </c:pt>
                <c:pt idx="136">
                  <c:v>129.25</c:v>
                </c:pt>
                <c:pt idx="137">
                  <c:v>129.75</c:v>
                </c:pt>
                <c:pt idx="138">
                  <c:v>130.35</c:v>
                </c:pt>
                <c:pt idx="139">
                  <c:v>131.0</c:v>
                </c:pt>
                <c:pt idx="140">
                  <c:v>131.65</c:v>
                </c:pt>
                <c:pt idx="141">
                  <c:v>132.15</c:v>
                </c:pt>
                <c:pt idx="142">
                  <c:v>132.8</c:v>
                </c:pt>
                <c:pt idx="143">
                  <c:v>133.2</c:v>
                </c:pt>
                <c:pt idx="144">
                  <c:v>133.85</c:v>
                </c:pt>
                <c:pt idx="145">
                  <c:v>134.5</c:v>
                </c:pt>
                <c:pt idx="146">
                  <c:v>134.9</c:v>
                </c:pt>
                <c:pt idx="147">
                  <c:v>135.65</c:v>
                </c:pt>
                <c:pt idx="148">
                  <c:v>136.05</c:v>
                </c:pt>
                <c:pt idx="149">
                  <c:v>136.7</c:v>
                </c:pt>
                <c:pt idx="150">
                  <c:v>137.35</c:v>
                </c:pt>
                <c:pt idx="151">
                  <c:v>137.65</c:v>
                </c:pt>
                <c:pt idx="152">
                  <c:v>138.1</c:v>
                </c:pt>
                <c:pt idx="153">
                  <c:v>138.4</c:v>
                </c:pt>
                <c:pt idx="154">
                  <c:v>138.6</c:v>
                </c:pt>
                <c:pt idx="155">
                  <c:v>139.15</c:v>
                </c:pt>
                <c:pt idx="156">
                  <c:v>139.35</c:v>
                </c:pt>
                <c:pt idx="157">
                  <c:v>139.9</c:v>
                </c:pt>
                <c:pt idx="158">
                  <c:v>140.1</c:v>
                </c:pt>
                <c:pt idx="159">
                  <c:v>140.65</c:v>
                </c:pt>
                <c:pt idx="160">
                  <c:v>140.85</c:v>
                </c:pt>
                <c:pt idx="161">
                  <c:v>141.4</c:v>
                </c:pt>
                <c:pt idx="162">
                  <c:v>141.6</c:v>
                </c:pt>
                <c:pt idx="163">
                  <c:v>141.7</c:v>
                </c:pt>
                <c:pt idx="164">
                  <c:v>141.9</c:v>
                </c:pt>
                <c:pt idx="165">
                  <c:v>142.0</c:v>
                </c:pt>
                <c:pt idx="166">
                  <c:v>142.2</c:v>
                </c:pt>
                <c:pt idx="167">
                  <c:v>142.3</c:v>
                </c:pt>
                <c:pt idx="168">
                  <c:v>142.5</c:v>
                </c:pt>
                <c:pt idx="169">
                  <c:v>142.85</c:v>
                </c:pt>
                <c:pt idx="170">
                  <c:v>142.95</c:v>
                </c:pt>
                <c:pt idx="171">
                  <c:v>143.15</c:v>
                </c:pt>
                <c:pt idx="172">
                  <c:v>143.25</c:v>
                </c:pt>
                <c:pt idx="173">
                  <c:v>143.45</c:v>
                </c:pt>
                <c:pt idx="174">
                  <c:v>143.55</c:v>
                </c:pt>
                <c:pt idx="175">
                  <c:v>143.55</c:v>
                </c:pt>
                <c:pt idx="176">
                  <c:v>143.65</c:v>
                </c:pt>
                <c:pt idx="177">
                  <c:v>143.65</c:v>
                </c:pt>
                <c:pt idx="178">
                  <c:v>143.75</c:v>
                </c:pt>
                <c:pt idx="179">
                  <c:v>143.75</c:v>
                </c:pt>
                <c:pt idx="180">
                  <c:v>143.85</c:v>
                </c:pt>
                <c:pt idx="181">
                  <c:v>143.85</c:v>
                </c:pt>
                <c:pt idx="182">
                  <c:v>144.1</c:v>
                </c:pt>
                <c:pt idx="183">
                  <c:v>144.2</c:v>
                </c:pt>
                <c:pt idx="184">
                  <c:v>144.2</c:v>
                </c:pt>
                <c:pt idx="185">
                  <c:v>144.3</c:v>
                </c:pt>
                <c:pt idx="186">
                  <c:v>144.3</c:v>
                </c:pt>
                <c:pt idx="187">
                  <c:v>144.3</c:v>
                </c:pt>
                <c:pt idx="188">
                  <c:v>144.4</c:v>
                </c:pt>
                <c:pt idx="189">
                  <c:v>144.4</c:v>
                </c:pt>
                <c:pt idx="190">
                  <c:v>144.4</c:v>
                </c:pt>
                <c:pt idx="191">
                  <c:v>144.5</c:v>
                </c:pt>
                <c:pt idx="192">
                  <c:v>144.5</c:v>
                </c:pt>
                <c:pt idx="193">
                  <c:v>144.5</c:v>
                </c:pt>
                <c:pt idx="194">
                  <c:v>144.6</c:v>
                </c:pt>
                <c:pt idx="195">
                  <c:v>144.6</c:v>
                </c:pt>
                <c:pt idx="196">
                  <c:v>144.6</c:v>
                </c:pt>
                <c:pt idx="197">
                  <c:v>144.7</c:v>
                </c:pt>
                <c:pt idx="198">
                  <c:v>144.7</c:v>
                </c:pt>
                <c:pt idx="199">
                  <c:v>144.7</c:v>
                </c:pt>
                <c:pt idx="200">
                  <c:v>144.8</c:v>
                </c:pt>
                <c:pt idx="201">
                  <c:v>144.8</c:v>
                </c:pt>
                <c:pt idx="202">
                  <c:v>144.8</c:v>
                </c:pt>
                <c:pt idx="203">
                  <c:v>144.9</c:v>
                </c:pt>
                <c:pt idx="204">
                  <c:v>144.9</c:v>
                </c:pt>
                <c:pt idx="205">
                  <c:v>144.9</c:v>
                </c:pt>
                <c:pt idx="206">
                  <c:v>145.0</c:v>
                </c:pt>
                <c:pt idx="207">
                  <c:v>145.0</c:v>
                </c:pt>
                <c:pt idx="208">
                  <c:v>145.0</c:v>
                </c:pt>
                <c:pt idx="209">
                  <c:v>145.1</c:v>
                </c:pt>
                <c:pt idx="210">
                  <c:v>144.85</c:v>
                </c:pt>
              </c:numCache>
            </c:numRef>
          </c:yVal>
          <c:smooth val="0"/>
        </c:ser>
        <c:ser>
          <c:idx val="6"/>
          <c:order val="6"/>
          <c:tx>
            <c:strRef>
              <c:f>成長曲線_データ!$M$2</c:f>
              <c:strCache>
                <c:ptCount val="1"/>
                <c:pt idx="0">
                  <c:v>-3SD</c:v>
                </c:pt>
              </c:strCache>
            </c:strRef>
          </c:tx>
          <c:spPr>
            <a:ln w="12700">
              <a:solidFill>
                <a:sysClr val="windowText" lastClr="000000"/>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成長曲線_データ!$M$4:$M$214</c:f>
              <c:numCache>
                <c:formatCode>General</c:formatCode>
                <c:ptCount val="211"/>
                <c:pt idx="0">
                  <c:v>42.1</c:v>
                </c:pt>
                <c:pt idx="1">
                  <c:v>46.3</c:v>
                </c:pt>
                <c:pt idx="2">
                  <c:v>50.1</c:v>
                </c:pt>
                <c:pt idx="3">
                  <c:v>53.4</c:v>
                </c:pt>
                <c:pt idx="4">
                  <c:v>56.0</c:v>
                </c:pt>
                <c:pt idx="5">
                  <c:v>57.7</c:v>
                </c:pt>
                <c:pt idx="6">
                  <c:v>59.3</c:v>
                </c:pt>
                <c:pt idx="7">
                  <c:v>60.6</c:v>
                </c:pt>
                <c:pt idx="8">
                  <c:v>61.7</c:v>
                </c:pt>
                <c:pt idx="9">
                  <c:v>62.8</c:v>
                </c:pt>
                <c:pt idx="10">
                  <c:v>64.0</c:v>
                </c:pt>
                <c:pt idx="11">
                  <c:v>64.8</c:v>
                </c:pt>
                <c:pt idx="12">
                  <c:v>65.9</c:v>
                </c:pt>
                <c:pt idx="13">
                  <c:v>67.0</c:v>
                </c:pt>
                <c:pt idx="14">
                  <c:v>67.7</c:v>
                </c:pt>
                <c:pt idx="15">
                  <c:v>68.7</c:v>
                </c:pt>
                <c:pt idx="16">
                  <c:v>69.7</c:v>
                </c:pt>
                <c:pt idx="17">
                  <c:v>70.30000000000001</c:v>
                </c:pt>
                <c:pt idx="18">
                  <c:v>71.30000000000001</c:v>
                </c:pt>
                <c:pt idx="19">
                  <c:v>71.9</c:v>
                </c:pt>
                <c:pt idx="20">
                  <c:v>72.80000000000001</c:v>
                </c:pt>
                <c:pt idx="21">
                  <c:v>73.6</c:v>
                </c:pt>
                <c:pt idx="22">
                  <c:v>74.1</c:v>
                </c:pt>
                <c:pt idx="23">
                  <c:v>74.8</c:v>
                </c:pt>
                <c:pt idx="24">
                  <c:v>75.6</c:v>
                </c:pt>
                <c:pt idx="25">
                  <c:v>76.0</c:v>
                </c:pt>
                <c:pt idx="26">
                  <c:v>76.7</c:v>
                </c:pt>
                <c:pt idx="27">
                  <c:v>77.4</c:v>
                </c:pt>
                <c:pt idx="28">
                  <c:v>77.8</c:v>
                </c:pt>
                <c:pt idx="29">
                  <c:v>78.4</c:v>
                </c:pt>
                <c:pt idx="30">
                  <c:v>79.10000000000001</c:v>
                </c:pt>
                <c:pt idx="31">
                  <c:v>79.4</c:v>
                </c:pt>
                <c:pt idx="32">
                  <c:v>80.0</c:v>
                </c:pt>
                <c:pt idx="33">
                  <c:v>80.4</c:v>
                </c:pt>
                <c:pt idx="34">
                  <c:v>81.0</c:v>
                </c:pt>
                <c:pt idx="35">
                  <c:v>81.69999999999998</c:v>
                </c:pt>
                <c:pt idx="36">
                  <c:v>82.0</c:v>
                </c:pt>
                <c:pt idx="37">
                  <c:v>82.6</c:v>
                </c:pt>
                <c:pt idx="38">
                  <c:v>83.3</c:v>
                </c:pt>
                <c:pt idx="39">
                  <c:v>83.6</c:v>
                </c:pt>
                <c:pt idx="40">
                  <c:v>84.2</c:v>
                </c:pt>
                <c:pt idx="41">
                  <c:v>84.8</c:v>
                </c:pt>
                <c:pt idx="42">
                  <c:v>85.10000000000001</c:v>
                </c:pt>
                <c:pt idx="43">
                  <c:v>85.7</c:v>
                </c:pt>
                <c:pt idx="44">
                  <c:v>86.3</c:v>
                </c:pt>
                <c:pt idx="45">
                  <c:v>86.6</c:v>
                </c:pt>
                <c:pt idx="46">
                  <c:v>87.19999999999998</c:v>
                </c:pt>
                <c:pt idx="47">
                  <c:v>87.5</c:v>
                </c:pt>
                <c:pt idx="48">
                  <c:v>88.1</c:v>
                </c:pt>
                <c:pt idx="49">
                  <c:v>88.6</c:v>
                </c:pt>
                <c:pt idx="50">
                  <c:v>88.9</c:v>
                </c:pt>
                <c:pt idx="51">
                  <c:v>89.5</c:v>
                </c:pt>
                <c:pt idx="52">
                  <c:v>90.0</c:v>
                </c:pt>
                <c:pt idx="53">
                  <c:v>90.3</c:v>
                </c:pt>
                <c:pt idx="54">
                  <c:v>90.8</c:v>
                </c:pt>
                <c:pt idx="55">
                  <c:v>91.4</c:v>
                </c:pt>
                <c:pt idx="56">
                  <c:v>91.60000000000001</c:v>
                </c:pt>
                <c:pt idx="57">
                  <c:v>92.2</c:v>
                </c:pt>
                <c:pt idx="58">
                  <c:v>92.7</c:v>
                </c:pt>
                <c:pt idx="59">
                  <c:v>93.0</c:v>
                </c:pt>
                <c:pt idx="60">
                  <c:v>93.6</c:v>
                </c:pt>
                <c:pt idx="61">
                  <c:v>93.80000000000001</c:v>
                </c:pt>
                <c:pt idx="62">
                  <c:v>94.4</c:v>
                </c:pt>
                <c:pt idx="63">
                  <c:v>94.9</c:v>
                </c:pt>
                <c:pt idx="64">
                  <c:v>95.2</c:v>
                </c:pt>
                <c:pt idx="65">
                  <c:v>95.7</c:v>
                </c:pt>
                <c:pt idx="66">
                  <c:v>96.3</c:v>
                </c:pt>
                <c:pt idx="67">
                  <c:v>96.5</c:v>
                </c:pt>
                <c:pt idx="68">
                  <c:v>97.1</c:v>
                </c:pt>
                <c:pt idx="69">
                  <c:v>97.6</c:v>
                </c:pt>
                <c:pt idx="70">
                  <c:v>97.8</c:v>
                </c:pt>
                <c:pt idx="71">
                  <c:v>98.4</c:v>
                </c:pt>
                <c:pt idx="72">
                  <c:v>98.9</c:v>
                </c:pt>
                <c:pt idx="73">
                  <c:v>99.19999999999998</c:v>
                </c:pt>
                <c:pt idx="74">
                  <c:v>99.69999999999998</c:v>
                </c:pt>
                <c:pt idx="75">
                  <c:v>100.3</c:v>
                </c:pt>
                <c:pt idx="76">
                  <c:v>100.5</c:v>
                </c:pt>
                <c:pt idx="77">
                  <c:v>100.8</c:v>
                </c:pt>
                <c:pt idx="78">
                  <c:v>101.1</c:v>
                </c:pt>
                <c:pt idx="79">
                  <c:v>101.6</c:v>
                </c:pt>
                <c:pt idx="80">
                  <c:v>102.1</c:v>
                </c:pt>
                <c:pt idx="81">
                  <c:v>102.6</c:v>
                </c:pt>
                <c:pt idx="82">
                  <c:v>102.8</c:v>
                </c:pt>
                <c:pt idx="83">
                  <c:v>103.3</c:v>
                </c:pt>
                <c:pt idx="84">
                  <c:v>103.8</c:v>
                </c:pt>
                <c:pt idx="85">
                  <c:v>104.2</c:v>
                </c:pt>
                <c:pt idx="86">
                  <c:v>104.7</c:v>
                </c:pt>
                <c:pt idx="87">
                  <c:v>104.9</c:v>
                </c:pt>
                <c:pt idx="88">
                  <c:v>105.4</c:v>
                </c:pt>
                <c:pt idx="89">
                  <c:v>105.9</c:v>
                </c:pt>
                <c:pt idx="90">
                  <c:v>106.4</c:v>
                </c:pt>
                <c:pt idx="91">
                  <c:v>106.6</c:v>
                </c:pt>
                <c:pt idx="92">
                  <c:v>107.1</c:v>
                </c:pt>
                <c:pt idx="93">
                  <c:v>107.6</c:v>
                </c:pt>
                <c:pt idx="94">
                  <c:v>107.7</c:v>
                </c:pt>
                <c:pt idx="95">
                  <c:v>108.2</c:v>
                </c:pt>
                <c:pt idx="96">
                  <c:v>108.4</c:v>
                </c:pt>
                <c:pt idx="97">
                  <c:v>108.9</c:v>
                </c:pt>
                <c:pt idx="98">
                  <c:v>109.4</c:v>
                </c:pt>
                <c:pt idx="99">
                  <c:v>109.6</c:v>
                </c:pt>
                <c:pt idx="100">
                  <c:v>110.0</c:v>
                </c:pt>
                <c:pt idx="101">
                  <c:v>110.5</c:v>
                </c:pt>
                <c:pt idx="102">
                  <c:v>110.7</c:v>
                </c:pt>
                <c:pt idx="103">
                  <c:v>111.2</c:v>
                </c:pt>
                <c:pt idx="104">
                  <c:v>111.4</c:v>
                </c:pt>
                <c:pt idx="105">
                  <c:v>111.9</c:v>
                </c:pt>
                <c:pt idx="106">
                  <c:v>112.1</c:v>
                </c:pt>
                <c:pt idx="107">
                  <c:v>112.6</c:v>
                </c:pt>
                <c:pt idx="108">
                  <c:v>112.8</c:v>
                </c:pt>
                <c:pt idx="109">
                  <c:v>113.3</c:v>
                </c:pt>
                <c:pt idx="110">
                  <c:v>113.5</c:v>
                </c:pt>
                <c:pt idx="111">
                  <c:v>114.0</c:v>
                </c:pt>
                <c:pt idx="112">
                  <c:v>114.2</c:v>
                </c:pt>
                <c:pt idx="113">
                  <c:v>114.7</c:v>
                </c:pt>
                <c:pt idx="114">
                  <c:v>114.9</c:v>
                </c:pt>
                <c:pt idx="115">
                  <c:v>115.5</c:v>
                </c:pt>
                <c:pt idx="116">
                  <c:v>115.7</c:v>
                </c:pt>
                <c:pt idx="117">
                  <c:v>116.3</c:v>
                </c:pt>
                <c:pt idx="118">
                  <c:v>116.6</c:v>
                </c:pt>
                <c:pt idx="119">
                  <c:v>117.1</c:v>
                </c:pt>
                <c:pt idx="120">
                  <c:v>117.4</c:v>
                </c:pt>
                <c:pt idx="121">
                  <c:v>118.0</c:v>
                </c:pt>
                <c:pt idx="122">
                  <c:v>118.2</c:v>
                </c:pt>
                <c:pt idx="123">
                  <c:v>118.8</c:v>
                </c:pt>
                <c:pt idx="124">
                  <c:v>119.1</c:v>
                </c:pt>
                <c:pt idx="125">
                  <c:v>119.6</c:v>
                </c:pt>
                <c:pt idx="126">
                  <c:v>119.9</c:v>
                </c:pt>
                <c:pt idx="127">
                  <c:v>120.5</c:v>
                </c:pt>
                <c:pt idx="128">
                  <c:v>121.0</c:v>
                </c:pt>
                <c:pt idx="129">
                  <c:v>121.6</c:v>
                </c:pt>
                <c:pt idx="130">
                  <c:v>122.2</c:v>
                </c:pt>
                <c:pt idx="131">
                  <c:v>123.0</c:v>
                </c:pt>
                <c:pt idx="132">
                  <c:v>123.6</c:v>
                </c:pt>
                <c:pt idx="133">
                  <c:v>124.2</c:v>
                </c:pt>
                <c:pt idx="134">
                  <c:v>124.7</c:v>
                </c:pt>
                <c:pt idx="135">
                  <c:v>125.3</c:v>
                </c:pt>
                <c:pt idx="136">
                  <c:v>125.9</c:v>
                </c:pt>
                <c:pt idx="137">
                  <c:v>126.4</c:v>
                </c:pt>
                <c:pt idx="138">
                  <c:v>127.0</c:v>
                </c:pt>
                <c:pt idx="139">
                  <c:v>127.7</c:v>
                </c:pt>
                <c:pt idx="140">
                  <c:v>128.4</c:v>
                </c:pt>
                <c:pt idx="141">
                  <c:v>128.9</c:v>
                </c:pt>
                <c:pt idx="142">
                  <c:v>129.6</c:v>
                </c:pt>
                <c:pt idx="143">
                  <c:v>130.0</c:v>
                </c:pt>
                <c:pt idx="144">
                  <c:v>130.7</c:v>
                </c:pt>
                <c:pt idx="145">
                  <c:v>131.4</c:v>
                </c:pt>
                <c:pt idx="146">
                  <c:v>131.8</c:v>
                </c:pt>
                <c:pt idx="147">
                  <c:v>132.6</c:v>
                </c:pt>
                <c:pt idx="148">
                  <c:v>133.0</c:v>
                </c:pt>
                <c:pt idx="149">
                  <c:v>133.7</c:v>
                </c:pt>
                <c:pt idx="150">
                  <c:v>134.4</c:v>
                </c:pt>
                <c:pt idx="151">
                  <c:v>134.7</c:v>
                </c:pt>
                <c:pt idx="152">
                  <c:v>135.2</c:v>
                </c:pt>
                <c:pt idx="153">
                  <c:v>135.5</c:v>
                </c:pt>
                <c:pt idx="154">
                  <c:v>135.7</c:v>
                </c:pt>
                <c:pt idx="155">
                  <c:v>136.3</c:v>
                </c:pt>
                <c:pt idx="156">
                  <c:v>136.5</c:v>
                </c:pt>
                <c:pt idx="157">
                  <c:v>137.1</c:v>
                </c:pt>
                <c:pt idx="158">
                  <c:v>137.3</c:v>
                </c:pt>
                <c:pt idx="159">
                  <c:v>137.9</c:v>
                </c:pt>
                <c:pt idx="160">
                  <c:v>138.1</c:v>
                </c:pt>
                <c:pt idx="161">
                  <c:v>138.7</c:v>
                </c:pt>
                <c:pt idx="162">
                  <c:v>138.9</c:v>
                </c:pt>
                <c:pt idx="163">
                  <c:v>139.0</c:v>
                </c:pt>
                <c:pt idx="164">
                  <c:v>139.2</c:v>
                </c:pt>
                <c:pt idx="165">
                  <c:v>139.3</c:v>
                </c:pt>
                <c:pt idx="166">
                  <c:v>139.5</c:v>
                </c:pt>
                <c:pt idx="167">
                  <c:v>139.6</c:v>
                </c:pt>
                <c:pt idx="168">
                  <c:v>139.8</c:v>
                </c:pt>
                <c:pt idx="169">
                  <c:v>140.2</c:v>
                </c:pt>
                <c:pt idx="170">
                  <c:v>140.3</c:v>
                </c:pt>
                <c:pt idx="171">
                  <c:v>140.5</c:v>
                </c:pt>
                <c:pt idx="172">
                  <c:v>140.6</c:v>
                </c:pt>
                <c:pt idx="173">
                  <c:v>140.8</c:v>
                </c:pt>
                <c:pt idx="174">
                  <c:v>140.9</c:v>
                </c:pt>
                <c:pt idx="175">
                  <c:v>140.9</c:v>
                </c:pt>
                <c:pt idx="176">
                  <c:v>141.0</c:v>
                </c:pt>
                <c:pt idx="177">
                  <c:v>141.0</c:v>
                </c:pt>
                <c:pt idx="178">
                  <c:v>141.1</c:v>
                </c:pt>
                <c:pt idx="179">
                  <c:v>141.1</c:v>
                </c:pt>
                <c:pt idx="180">
                  <c:v>141.2</c:v>
                </c:pt>
                <c:pt idx="181">
                  <c:v>141.2</c:v>
                </c:pt>
                <c:pt idx="182">
                  <c:v>141.5</c:v>
                </c:pt>
                <c:pt idx="183">
                  <c:v>141.6</c:v>
                </c:pt>
                <c:pt idx="184">
                  <c:v>141.6</c:v>
                </c:pt>
                <c:pt idx="185">
                  <c:v>141.7</c:v>
                </c:pt>
                <c:pt idx="186">
                  <c:v>141.7</c:v>
                </c:pt>
                <c:pt idx="187">
                  <c:v>141.7</c:v>
                </c:pt>
                <c:pt idx="188">
                  <c:v>141.8</c:v>
                </c:pt>
                <c:pt idx="189">
                  <c:v>141.8</c:v>
                </c:pt>
                <c:pt idx="190">
                  <c:v>141.8</c:v>
                </c:pt>
                <c:pt idx="191">
                  <c:v>141.9</c:v>
                </c:pt>
                <c:pt idx="192">
                  <c:v>141.9</c:v>
                </c:pt>
                <c:pt idx="193">
                  <c:v>141.9</c:v>
                </c:pt>
                <c:pt idx="194">
                  <c:v>142.0</c:v>
                </c:pt>
                <c:pt idx="195">
                  <c:v>142.0</c:v>
                </c:pt>
                <c:pt idx="196">
                  <c:v>142.0</c:v>
                </c:pt>
                <c:pt idx="197">
                  <c:v>142.1</c:v>
                </c:pt>
                <c:pt idx="198">
                  <c:v>142.1</c:v>
                </c:pt>
                <c:pt idx="199">
                  <c:v>142.1</c:v>
                </c:pt>
                <c:pt idx="200">
                  <c:v>142.2</c:v>
                </c:pt>
                <c:pt idx="201">
                  <c:v>142.2</c:v>
                </c:pt>
                <c:pt idx="202">
                  <c:v>142.2</c:v>
                </c:pt>
                <c:pt idx="203">
                  <c:v>142.3</c:v>
                </c:pt>
                <c:pt idx="204">
                  <c:v>142.3</c:v>
                </c:pt>
                <c:pt idx="205">
                  <c:v>142.3</c:v>
                </c:pt>
                <c:pt idx="206">
                  <c:v>142.4</c:v>
                </c:pt>
                <c:pt idx="207">
                  <c:v>142.4</c:v>
                </c:pt>
                <c:pt idx="208">
                  <c:v>142.4</c:v>
                </c:pt>
                <c:pt idx="209">
                  <c:v>142.5</c:v>
                </c:pt>
                <c:pt idx="210">
                  <c:v>142.2</c:v>
                </c:pt>
              </c:numCache>
            </c:numRef>
          </c:yVal>
          <c:smooth val="0"/>
        </c:ser>
        <c:ser>
          <c:idx val="12"/>
          <c:order val="12"/>
          <c:tx>
            <c:strRef>
              <c:f>入力!$V$10</c:f>
              <c:strCache>
                <c:ptCount val="1"/>
                <c:pt idx="0">
                  <c:v> 身長</c:v>
                </c:pt>
              </c:strCache>
            </c:strRef>
          </c:tx>
          <c:spPr>
            <a:ln w="25400">
              <a:noFill/>
            </a:ln>
          </c:spPr>
          <c:marker>
            <c:symbol val="circle"/>
            <c:size val="8"/>
            <c:spPr>
              <a:solidFill>
                <a:srgbClr val="FF0000"/>
              </a:solidFill>
              <a:ln w="19050">
                <a:solidFill>
                  <a:sysClr val="window" lastClr="FFFFFF"/>
                </a:solidFill>
              </a:ln>
            </c:spPr>
          </c:marker>
          <c:xVal>
            <c:numRef>
              <c:f>入力!$W$7:$W$156</c:f>
              <c:numCache>
                <c:formatCode>0.00_);[Red]\(0.00\)</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入力!$B$7:$B$156</c:f>
              <c:numCache>
                <c:formatCode>General</c:formatCode>
                <c:ptCount val="150"/>
              </c:numCache>
            </c:numRef>
          </c:yVal>
          <c:smooth val="0"/>
        </c:ser>
        <c:dLbls>
          <c:showLegendKey val="0"/>
          <c:showVal val="0"/>
          <c:showCatName val="0"/>
          <c:showSerName val="0"/>
          <c:showPercent val="0"/>
          <c:showBubbleSize val="0"/>
        </c:dLbls>
        <c:axId val="-953614880"/>
        <c:axId val="-983223248"/>
      </c:scatterChart>
      <c:scatterChart>
        <c:scatterStyle val="lineMarker"/>
        <c:varyColors val="0"/>
        <c:ser>
          <c:idx val="7"/>
          <c:order val="7"/>
          <c:tx>
            <c:strRef>
              <c:f>成長曲線_データ!$W$2</c:f>
              <c:strCache>
                <c:ptCount val="1"/>
                <c:pt idx="0">
                  <c:v>成長速度</c:v>
                </c:pt>
              </c:strCache>
            </c:strRef>
          </c:tx>
          <c:spPr>
            <a:ln>
              <a:solidFill>
                <a:schemeClr val="tx1"/>
              </a:solidFill>
            </a:ln>
          </c:spPr>
          <c:marker>
            <c:symbol val="none"/>
          </c:marker>
          <c:xVal>
            <c:numRef>
              <c:f>成長曲線_データ!$V$4:$V$73</c:f>
              <c:numCache>
                <c:formatCode>General</c:formatCode>
                <c:ptCount val="70"/>
                <c:pt idx="0">
                  <c:v>0.0</c:v>
                </c:pt>
                <c:pt idx="1">
                  <c:v>0.25</c:v>
                </c:pt>
                <c:pt idx="2">
                  <c:v>0.5</c:v>
                </c:pt>
                <c:pt idx="3">
                  <c:v>0.75</c:v>
                </c:pt>
                <c:pt idx="4">
                  <c:v>1.0</c:v>
                </c:pt>
                <c:pt idx="5">
                  <c:v>1.25</c:v>
                </c:pt>
                <c:pt idx="6">
                  <c:v>1.5</c:v>
                </c:pt>
                <c:pt idx="7">
                  <c:v>1.75</c:v>
                </c:pt>
                <c:pt idx="8">
                  <c:v>2.0</c:v>
                </c:pt>
                <c:pt idx="9">
                  <c:v>2.25</c:v>
                </c:pt>
                <c:pt idx="10">
                  <c:v>2.5</c:v>
                </c:pt>
                <c:pt idx="11">
                  <c:v>2.75</c:v>
                </c:pt>
                <c:pt idx="12">
                  <c:v>3.0</c:v>
                </c:pt>
                <c:pt idx="13">
                  <c:v>3.25</c:v>
                </c:pt>
                <c:pt idx="14">
                  <c:v>3.5</c:v>
                </c:pt>
                <c:pt idx="15">
                  <c:v>3.75</c:v>
                </c:pt>
                <c:pt idx="16">
                  <c:v>4.0</c:v>
                </c:pt>
                <c:pt idx="17">
                  <c:v>4.25</c:v>
                </c:pt>
                <c:pt idx="18">
                  <c:v>4.5</c:v>
                </c:pt>
                <c:pt idx="19">
                  <c:v>4.75</c:v>
                </c:pt>
                <c:pt idx="20">
                  <c:v>5.0</c:v>
                </c:pt>
                <c:pt idx="21">
                  <c:v>5.25</c:v>
                </c:pt>
                <c:pt idx="22">
                  <c:v>5.5</c:v>
                </c:pt>
                <c:pt idx="23">
                  <c:v>5.75</c:v>
                </c:pt>
                <c:pt idx="24">
                  <c:v>6.0</c:v>
                </c:pt>
                <c:pt idx="25">
                  <c:v>6.25</c:v>
                </c:pt>
                <c:pt idx="26">
                  <c:v>6.5</c:v>
                </c:pt>
                <c:pt idx="27">
                  <c:v>6.75</c:v>
                </c:pt>
                <c:pt idx="28">
                  <c:v>7.0</c:v>
                </c:pt>
                <c:pt idx="29">
                  <c:v>7.25</c:v>
                </c:pt>
                <c:pt idx="30">
                  <c:v>7.5</c:v>
                </c:pt>
                <c:pt idx="31">
                  <c:v>7.75</c:v>
                </c:pt>
                <c:pt idx="32">
                  <c:v>8.0</c:v>
                </c:pt>
                <c:pt idx="33">
                  <c:v>8.25</c:v>
                </c:pt>
                <c:pt idx="34">
                  <c:v>8.5</c:v>
                </c:pt>
                <c:pt idx="35">
                  <c:v>8.75</c:v>
                </c:pt>
                <c:pt idx="36">
                  <c:v>9.0</c:v>
                </c:pt>
                <c:pt idx="37">
                  <c:v>9.25</c:v>
                </c:pt>
                <c:pt idx="38">
                  <c:v>9.5</c:v>
                </c:pt>
                <c:pt idx="39">
                  <c:v>9.75</c:v>
                </c:pt>
                <c:pt idx="40">
                  <c:v>10.0</c:v>
                </c:pt>
                <c:pt idx="41">
                  <c:v>10.25</c:v>
                </c:pt>
                <c:pt idx="42">
                  <c:v>10.5</c:v>
                </c:pt>
                <c:pt idx="43">
                  <c:v>10.75</c:v>
                </c:pt>
                <c:pt idx="44">
                  <c:v>11.0</c:v>
                </c:pt>
                <c:pt idx="45">
                  <c:v>11.25</c:v>
                </c:pt>
                <c:pt idx="46">
                  <c:v>11.5</c:v>
                </c:pt>
                <c:pt idx="47">
                  <c:v>11.75</c:v>
                </c:pt>
                <c:pt idx="48">
                  <c:v>12.0</c:v>
                </c:pt>
                <c:pt idx="49">
                  <c:v>12.25</c:v>
                </c:pt>
                <c:pt idx="50">
                  <c:v>12.5</c:v>
                </c:pt>
                <c:pt idx="51">
                  <c:v>12.75</c:v>
                </c:pt>
                <c:pt idx="52">
                  <c:v>13.0</c:v>
                </c:pt>
                <c:pt idx="53">
                  <c:v>13.25</c:v>
                </c:pt>
                <c:pt idx="54">
                  <c:v>13.5</c:v>
                </c:pt>
                <c:pt idx="55">
                  <c:v>13.75</c:v>
                </c:pt>
                <c:pt idx="56">
                  <c:v>14.0</c:v>
                </c:pt>
                <c:pt idx="57">
                  <c:v>14.25</c:v>
                </c:pt>
                <c:pt idx="58">
                  <c:v>14.5</c:v>
                </c:pt>
                <c:pt idx="59">
                  <c:v>14.75</c:v>
                </c:pt>
                <c:pt idx="60">
                  <c:v>15.0</c:v>
                </c:pt>
                <c:pt idx="61">
                  <c:v>15.25</c:v>
                </c:pt>
                <c:pt idx="62">
                  <c:v>15.5</c:v>
                </c:pt>
                <c:pt idx="63">
                  <c:v>15.75</c:v>
                </c:pt>
                <c:pt idx="64">
                  <c:v>16.0</c:v>
                </c:pt>
                <c:pt idx="65">
                  <c:v>16.25</c:v>
                </c:pt>
                <c:pt idx="66">
                  <c:v>16.5</c:v>
                </c:pt>
                <c:pt idx="67">
                  <c:v>16.75</c:v>
                </c:pt>
                <c:pt idx="68">
                  <c:v>17.0</c:v>
                </c:pt>
                <c:pt idx="69">
                  <c:v>17.25</c:v>
                </c:pt>
              </c:numCache>
            </c:numRef>
          </c:xVal>
          <c:yVal>
            <c:numRef>
              <c:f>成長曲線_データ!$W$4:$W$73</c:f>
              <c:numCache>
                <c:formatCode>General</c:formatCode>
                <c:ptCount val="70"/>
                <c:pt idx="2">
                  <c:v>25.0</c:v>
                </c:pt>
                <c:pt idx="3">
                  <c:v>17.8</c:v>
                </c:pt>
                <c:pt idx="4">
                  <c:v>13.4</c:v>
                </c:pt>
                <c:pt idx="5">
                  <c:v>11.6</c:v>
                </c:pt>
                <c:pt idx="6">
                  <c:v>10.3</c:v>
                </c:pt>
                <c:pt idx="7">
                  <c:v>9.4</c:v>
                </c:pt>
                <c:pt idx="8">
                  <c:v>8.8</c:v>
                </c:pt>
                <c:pt idx="9">
                  <c:v>8.4</c:v>
                </c:pt>
                <c:pt idx="10">
                  <c:v>8.0</c:v>
                </c:pt>
                <c:pt idx="11">
                  <c:v>7.7</c:v>
                </c:pt>
                <c:pt idx="12">
                  <c:v>7.4</c:v>
                </c:pt>
                <c:pt idx="13">
                  <c:v>7.2</c:v>
                </c:pt>
                <c:pt idx="14">
                  <c:v>7.1</c:v>
                </c:pt>
                <c:pt idx="15">
                  <c:v>7.0</c:v>
                </c:pt>
                <c:pt idx="16">
                  <c:v>6.9</c:v>
                </c:pt>
                <c:pt idx="17">
                  <c:v>6.8</c:v>
                </c:pt>
                <c:pt idx="18">
                  <c:v>6.7</c:v>
                </c:pt>
                <c:pt idx="19">
                  <c:v>6.6</c:v>
                </c:pt>
                <c:pt idx="20">
                  <c:v>6.5</c:v>
                </c:pt>
                <c:pt idx="21">
                  <c:v>6.4</c:v>
                </c:pt>
                <c:pt idx="22">
                  <c:v>6.3</c:v>
                </c:pt>
                <c:pt idx="23">
                  <c:v>6.3</c:v>
                </c:pt>
                <c:pt idx="24">
                  <c:v>6.1</c:v>
                </c:pt>
                <c:pt idx="25">
                  <c:v>6.1</c:v>
                </c:pt>
                <c:pt idx="26">
                  <c:v>5.9</c:v>
                </c:pt>
                <c:pt idx="27">
                  <c:v>5.8</c:v>
                </c:pt>
                <c:pt idx="28">
                  <c:v>5.7</c:v>
                </c:pt>
                <c:pt idx="29">
                  <c:v>5.6</c:v>
                </c:pt>
                <c:pt idx="30">
                  <c:v>5.5</c:v>
                </c:pt>
                <c:pt idx="31">
                  <c:v>5.4</c:v>
                </c:pt>
                <c:pt idx="32">
                  <c:v>5.4</c:v>
                </c:pt>
                <c:pt idx="33">
                  <c:v>5.3</c:v>
                </c:pt>
                <c:pt idx="34">
                  <c:v>5.3</c:v>
                </c:pt>
                <c:pt idx="35">
                  <c:v>5.3</c:v>
                </c:pt>
                <c:pt idx="36">
                  <c:v>5.4</c:v>
                </c:pt>
                <c:pt idx="37">
                  <c:v>5.4</c:v>
                </c:pt>
                <c:pt idx="38">
                  <c:v>5.6</c:v>
                </c:pt>
                <c:pt idx="39">
                  <c:v>5.9</c:v>
                </c:pt>
                <c:pt idx="40">
                  <c:v>6.3</c:v>
                </c:pt>
                <c:pt idx="41">
                  <c:v>6.7</c:v>
                </c:pt>
                <c:pt idx="42">
                  <c:v>7.3</c:v>
                </c:pt>
                <c:pt idx="43">
                  <c:v>7.9</c:v>
                </c:pt>
                <c:pt idx="44">
                  <c:v>8.3</c:v>
                </c:pt>
                <c:pt idx="45">
                  <c:v>8.0</c:v>
                </c:pt>
                <c:pt idx="46">
                  <c:v>7.4</c:v>
                </c:pt>
                <c:pt idx="47">
                  <c:v>6.7</c:v>
                </c:pt>
                <c:pt idx="48">
                  <c:v>5.8</c:v>
                </c:pt>
                <c:pt idx="49">
                  <c:v>5.0</c:v>
                </c:pt>
                <c:pt idx="50">
                  <c:v>4.2</c:v>
                </c:pt>
                <c:pt idx="51">
                  <c:v>3.5</c:v>
                </c:pt>
                <c:pt idx="52">
                  <c:v>3.0</c:v>
                </c:pt>
                <c:pt idx="53">
                  <c:v>2.5</c:v>
                </c:pt>
                <c:pt idx="54">
                  <c:v>2.2</c:v>
                </c:pt>
                <c:pt idx="55">
                  <c:v>1.8</c:v>
                </c:pt>
                <c:pt idx="56">
                  <c:v>1.5</c:v>
                </c:pt>
                <c:pt idx="57">
                  <c:v>1.3</c:v>
                </c:pt>
                <c:pt idx="58">
                  <c:v>1.1</c:v>
                </c:pt>
                <c:pt idx="59">
                  <c:v>0.9</c:v>
                </c:pt>
                <c:pt idx="60">
                  <c:v>0.8</c:v>
                </c:pt>
                <c:pt idx="61">
                  <c:v>0.7</c:v>
                </c:pt>
                <c:pt idx="62">
                  <c:v>0.5</c:v>
                </c:pt>
                <c:pt idx="63">
                  <c:v>0.4</c:v>
                </c:pt>
                <c:pt idx="64">
                  <c:v>0.4</c:v>
                </c:pt>
                <c:pt idx="65">
                  <c:v>0.3</c:v>
                </c:pt>
                <c:pt idx="66">
                  <c:v>0.2</c:v>
                </c:pt>
                <c:pt idx="67">
                  <c:v>0.2</c:v>
                </c:pt>
                <c:pt idx="68">
                  <c:v>0.1</c:v>
                </c:pt>
                <c:pt idx="69">
                  <c:v>0.1</c:v>
                </c:pt>
              </c:numCache>
            </c:numRef>
          </c:yVal>
          <c:smooth val="0"/>
        </c:ser>
        <c:ser>
          <c:idx val="8"/>
          <c:order val="8"/>
          <c:tx>
            <c:strRef>
              <c:f>成長曲線_データ!$Y$2</c:f>
              <c:strCache>
                <c:ptCount val="1"/>
                <c:pt idx="0">
                  <c:v>+2SD</c:v>
                </c:pt>
              </c:strCache>
            </c:strRef>
          </c:tx>
          <c:spPr>
            <a:ln w="12700">
              <a:solidFill>
                <a:sysClr val="windowText" lastClr="000000"/>
              </a:solidFill>
            </a:ln>
          </c:spPr>
          <c:marker>
            <c:symbol val="none"/>
          </c:marker>
          <c:xVal>
            <c:numRef>
              <c:f>成長曲線_データ!$V$8:$V$73</c:f>
              <c:numCache>
                <c:formatCode>General</c:formatCode>
                <c:ptCount val="66"/>
                <c:pt idx="0">
                  <c:v>1.0</c:v>
                </c:pt>
                <c:pt idx="1">
                  <c:v>1.25</c:v>
                </c:pt>
                <c:pt idx="2">
                  <c:v>1.5</c:v>
                </c:pt>
                <c:pt idx="3">
                  <c:v>1.75</c:v>
                </c:pt>
                <c:pt idx="4">
                  <c:v>2.0</c:v>
                </c:pt>
                <c:pt idx="5">
                  <c:v>2.25</c:v>
                </c:pt>
                <c:pt idx="6">
                  <c:v>2.5</c:v>
                </c:pt>
                <c:pt idx="7">
                  <c:v>2.75</c:v>
                </c:pt>
                <c:pt idx="8">
                  <c:v>3.0</c:v>
                </c:pt>
                <c:pt idx="9">
                  <c:v>3.25</c:v>
                </c:pt>
                <c:pt idx="10">
                  <c:v>3.5</c:v>
                </c:pt>
                <c:pt idx="11">
                  <c:v>3.75</c:v>
                </c:pt>
                <c:pt idx="12">
                  <c:v>4.0</c:v>
                </c:pt>
                <c:pt idx="13">
                  <c:v>4.25</c:v>
                </c:pt>
                <c:pt idx="14">
                  <c:v>4.5</c:v>
                </c:pt>
                <c:pt idx="15">
                  <c:v>4.75</c:v>
                </c:pt>
                <c:pt idx="16">
                  <c:v>5.0</c:v>
                </c:pt>
                <c:pt idx="17">
                  <c:v>5.25</c:v>
                </c:pt>
                <c:pt idx="18">
                  <c:v>5.5</c:v>
                </c:pt>
                <c:pt idx="19">
                  <c:v>5.75</c:v>
                </c:pt>
                <c:pt idx="20">
                  <c:v>6.0</c:v>
                </c:pt>
                <c:pt idx="21">
                  <c:v>6.25</c:v>
                </c:pt>
                <c:pt idx="22">
                  <c:v>6.5</c:v>
                </c:pt>
                <c:pt idx="23">
                  <c:v>6.75</c:v>
                </c:pt>
                <c:pt idx="24">
                  <c:v>7.0</c:v>
                </c:pt>
                <c:pt idx="25">
                  <c:v>7.25</c:v>
                </c:pt>
                <c:pt idx="26">
                  <c:v>7.5</c:v>
                </c:pt>
                <c:pt idx="27">
                  <c:v>7.75</c:v>
                </c:pt>
                <c:pt idx="28">
                  <c:v>8.0</c:v>
                </c:pt>
                <c:pt idx="29">
                  <c:v>8.25</c:v>
                </c:pt>
                <c:pt idx="30">
                  <c:v>8.5</c:v>
                </c:pt>
                <c:pt idx="31">
                  <c:v>8.75</c:v>
                </c:pt>
                <c:pt idx="32">
                  <c:v>9.0</c:v>
                </c:pt>
                <c:pt idx="33">
                  <c:v>9.25</c:v>
                </c:pt>
                <c:pt idx="34">
                  <c:v>9.5</c:v>
                </c:pt>
                <c:pt idx="35">
                  <c:v>9.75</c:v>
                </c:pt>
                <c:pt idx="36">
                  <c:v>10.0</c:v>
                </c:pt>
                <c:pt idx="37">
                  <c:v>10.25</c:v>
                </c:pt>
                <c:pt idx="38">
                  <c:v>10.5</c:v>
                </c:pt>
                <c:pt idx="39">
                  <c:v>10.75</c:v>
                </c:pt>
                <c:pt idx="40">
                  <c:v>11.0</c:v>
                </c:pt>
                <c:pt idx="41">
                  <c:v>11.25</c:v>
                </c:pt>
                <c:pt idx="42">
                  <c:v>11.5</c:v>
                </c:pt>
                <c:pt idx="43">
                  <c:v>11.75</c:v>
                </c:pt>
                <c:pt idx="44">
                  <c:v>12.0</c:v>
                </c:pt>
                <c:pt idx="45">
                  <c:v>12.25</c:v>
                </c:pt>
                <c:pt idx="46">
                  <c:v>12.5</c:v>
                </c:pt>
                <c:pt idx="47">
                  <c:v>12.75</c:v>
                </c:pt>
                <c:pt idx="48">
                  <c:v>13.0</c:v>
                </c:pt>
                <c:pt idx="49">
                  <c:v>13.25</c:v>
                </c:pt>
                <c:pt idx="50">
                  <c:v>13.5</c:v>
                </c:pt>
                <c:pt idx="51">
                  <c:v>13.75</c:v>
                </c:pt>
                <c:pt idx="52">
                  <c:v>14.0</c:v>
                </c:pt>
                <c:pt idx="53">
                  <c:v>14.25</c:v>
                </c:pt>
                <c:pt idx="54">
                  <c:v>14.5</c:v>
                </c:pt>
                <c:pt idx="55">
                  <c:v>14.75</c:v>
                </c:pt>
                <c:pt idx="56">
                  <c:v>15.0</c:v>
                </c:pt>
                <c:pt idx="57">
                  <c:v>15.25</c:v>
                </c:pt>
                <c:pt idx="58">
                  <c:v>15.5</c:v>
                </c:pt>
                <c:pt idx="59">
                  <c:v>15.75</c:v>
                </c:pt>
                <c:pt idx="60">
                  <c:v>16.0</c:v>
                </c:pt>
                <c:pt idx="61">
                  <c:v>16.25</c:v>
                </c:pt>
                <c:pt idx="62">
                  <c:v>16.5</c:v>
                </c:pt>
                <c:pt idx="63">
                  <c:v>16.75</c:v>
                </c:pt>
                <c:pt idx="64">
                  <c:v>17.0</c:v>
                </c:pt>
                <c:pt idx="65">
                  <c:v>17.25</c:v>
                </c:pt>
              </c:numCache>
            </c:numRef>
          </c:xVal>
          <c:yVal>
            <c:numRef>
              <c:f>成長曲線_データ!$Y$8:$Y$73</c:f>
              <c:numCache>
                <c:formatCode>General</c:formatCode>
                <c:ptCount val="66"/>
                <c:pt idx="0">
                  <c:v>16.2</c:v>
                </c:pt>
                <c:pt idx="1">
                  <c:v>13.8</c:v>
                </c:pt>
                <c:pt idx="2">
                  <c:v>12.3</c:v>
                </c:pt>
                <c:pt idx="3">
                  <c:v>11.2</c:v>
                </c:pt>
                <c:pt idx="4">
                  <c:v>10.4</c:v>
                </c:pt>
                <c:pt idx="5">
                  <c:v>10.0</c:v>
                </c:pt>
                <c:pt idx="6">
                  <c:v>9.6</c:v>
                </c:pt>
                <c:pt idx="7">
                  <c:v>9.3</c:v>
                </c:pt>
                <c:pt idx="8">
                  <c:v>9.0</c:v>
                </c:pt>
                <c:pt idx="9">
                  <c:v>8.8</c:v>
                </c:pt>
                <c:pt idx="10">
                  <c:v>8.7</c:v>
                </c:pt>
                <c:pt idx="11">
                  <c:v>8.4</c:v>
                </c:pt>
                <c:pt idx="12">
                  <c:v>8.3</c:v>
                </c:pt>
                <c:pt idx="13">
                  <c:v>8.2</c:v>
                </c:pt>
                <c:pt idx="14">
                  <c:v>8.1</c:v>
                </c:pt>
                <c:pt idx="15">
                  <c:v>8.0</c:v>
                </c:pt>
                <c:pt idx="16">
                  <c:v>7.9</c:v>
                </c:pt>
                <c:pt idx="17">
                  <c:v>7.800000000000001</c:v>
                </c:pt>
                <c:pt idx="18">
                  <c:v>7.699999999999999</c:v>
                </c:pt>
                <c:pt idx="19">
                  <c:v>7.699999999999999</c:v>
                </c:pt>
                <c:pt idx="20">
                  <c:v>7.5</c:v>
                </c:pt>
                <c:pt idx="21">
                  <c:v>7.5</c:v>
                </c:pt>
                <c:pt idx="22">
                  <c:v>7.300000000000001</c:v>
                </c:pt>
                <c:pt idx="23">
                  <c:v>7.199999999999999</c:v>
                </c:pt>
                <c:pt idx="24">
                  <c:v>7.1</c:v>
                </c:pt>
                <c:pt idx="25">
                  <c:v>7.0</c:v>
                </c:pt>
                <c:pt idx="26">
                  <c:v>6.9</c:v>
                </c:pt>
                <c:pt idx="27">
                  <c:v>7.0</c:v>
                </c:pt>
                <c:pt idx="28">
                  <c:v>7.0</c:v>
                </c:pt>
                <c:pt idx="29">
                  <c:v>6.9</c:v>
                </c:pt>
                <c:pt idx="30">
                  <c:v>6.9</c:v>
                </c:pt>
                <c:pt idx="31">
                  <c:v>6.9</c:v>
                </c:pt>
                <c:pt idx="32">
                  <c:v>7.0</c:v>
                </c:pt>
                <c:pt idx="33">
                  <c:v>7.0</c:v>
                </c:pt>
                <c:pt idx="34">
                  <c:v>7.199999999999999</c:v>
                </c:pt>
                <c:pt idx="35">
                  <c:v>7.5</c:v>
                </c:pt>
                <c:pt idx="36">
                  <c:v>7.9</c:v>
                </c:pt>
                <c:pt idx="37">
                  <c:v>8.3</c:v>
                </c:pt>
                <c:pt idx="38">
                  <c:v>9.1</c:v>
                </c:pt>
                <c:pt idx="39">
                  <c:v>9.9</c:v>
                </c:pt>
                <c:pt idx="40">
                  <c:v>10.5</c:v>
                </c:pt>
                <c:pt idx="41">
                  <c:v>10.0</c:v>
                </c:pt>
                <c:pt idx="42">
                  <c:v>9.200000000000001</c:v>
                </c:pt>
                <c:pt idx="43">
                  <c:v>8.3</c:v>
                </c:pt>
                <c:pt idx="44">
                  <c:v>7.4</c:v>
                </c:pt>
                <c:pt idx="45">
                  <c:v>6.8</c:v>
                </c:pt>
                <c:pt idx="46">
                  <c:v>6.0</c:v>
                </c:pt>
                <c:pt idx="47">
                  <c:v>5.3</c:v>
                </c:pt>
                <c:pt idx="48">
                  <c:v>4.8</c:v>
                </c:pt>
                <c:pt idx="49">
                  <c:v>4.1</c:v>
                </c:pt>
                <c:pt idx="50">
                  <c:v>3.6</c:v>
                </c:pt>
                <c:pt idx="51">
                  <c:v>3.2</c:v>
                </c:pt>
                <c:pt idx="52">
                  <c:v>2.7</c:v>
                </c:pt>
                <c:pt idx="53">
                  <c:v>2.5</c:v>
                </c:pt>
                <c:pt idx="54">
                  <c:v>2.1</c:v>
                </c:pt>
                <c:pt idx="55">
                  <c:v>1.9</c:v>
                </c:pt>
                <c:pt idx="56">
                  <c:v>1.6</c:v>
                </c:pt>
                <c:pt idx="57">
                  <c:v>1.5</c:v>
                </c:pt>
                <c:pt idx="58">
                  <c:v>1.3</c:v>
                </c:pt>
                <c:pt idx="59">
                  <c:v>1.2</c:v>
                </c:pt>
                <c:pt idx="60">
                  <c:v>1.2</c:v>
                </c:pt>
                <c:pt idx="61">
                  <c:v>1.1</c:v>
                </c:pt>
                <c:pt idx="62">
                  <c:v>0.8</c:v>
                </c:pt>
                <c:pt idx="63">
                  <c:v>0.8</c:v>
                </c:pt>
                <c:pt idx="64">
                  <c:v>0.5</c:v>
                </c:pt>
                <c:pt idx="65">
                  <c:v>0.5</c:v>
                </c:pt>
              </c:numCache>
            </c:numRef>
          </c:yVal>
          <c:smooth val="0"/>
        </c:ser>
        <c:ser>
          <c:idx val="9"/>
          <c:order val="9"/>
          <c:tx>
            <c:strRef>
              <c:f>成長曲線_データ!$Z$2</c:f>
              <c:strCache>
                <c:ptCount val="1"/>
                <c:pt idx="0">
                  <c:v>+1SD</c:v>
                </c:pt>
              </c:strCache>
            </c:strRef>
          </c:tx>
          <c:spPr>
            <a:ln w="12700">
              <a:solidFill>
                <a:schemeClr val="tx1"/>
              </a:solidFill>
            </a:ln>
          </c:spPr>
          <c:marker>
            <c:symbol val="none"/>
          </c:marker>
          <c:xVal>
            <c:numRef>
              <c:f>成長曲線_データ!$V$8:$V$73</c:f>
              <c:numCache>
                <c:formatCode>General</c:formatCode>
                <c:ptCount val="66"/>
                <c:pt idx="0">
                  <c:v>1.0</c:v>
                </c:pt>
                <c:pt idx="1">
                  <c:v>1.25</c:v>
                </c:pt>
                <c:pt idx="2">
                  <c:v>1.5</c:v>
                </c:pt>
                <c:pt idx="3">
                  <c:v>1.75</c:v>
                </c:pt>
                <c:pt idx="4">
                  <c:v>2.0</c:v>
                </c:pt>
                <c:pt idx="5">
                  <c:v>2.25</c:v>
                </c:pt>
                <c:pt idx="6">
                  <c:v>2.5</c:v>
                </c:pt>
                <c:pt idx="7">
                  <c:v>2.75</c:v>
                </c:pt>
                <c:pt idx="8">
                  <c:v>3.0</c:v>
                </c:pt>
                <c:pt idx="9">
                  <c:v>3.25</c:v>
                </c:pt>
                <c:pt idx="10">
                  <c:v>3.5</c:v>
                </c:pt>
                <c:pt idx="11">
                  <c:v>3.75</c:v>
                </c:pt>
                <c:pt idx="12">
                  <c:v>4.0</c:v>
                </c:pt>
                <c:pt idx="13">
                  <c:v>4.25</c:v>
                </c:pt>
                <c:pt idx="14">
                  <c:v>4.5</c:v>
                </c:pt>
                <c:pt idx="15">
                  <c:v>4.75</c:v>
                </c:pt>
                <c:pt idx="16">
                  <c:v>5.0</c:v>
                </c:pt>
                <c:pt idx="17">
                  <c:v>5.25</c:v>
                </c:pt>
                <c:pt idx="18">
                  <c:v>5.5</c:v>
                </c:pt>
                <c:pt idx="19">
                  <c:v>5.75</c:v>
                </c:pt>
                <c:pt idx="20">
                  <c:v>6.0</c:v>
                </c:pt>
                <c:pt idx="21">
                  <c:v>6.25</c:v>
                </c:pt>
                <c:pt idx="22">
                  <c:v>6.5</c:v>
                </c:pt>
                <c:pt idx="23">
                  <c:v>6.75</c:v>
                </c:pt>
                <c:pt idx="24">
                  <c:v>7.0</c:v>
                </c:pt>
                <c:pt idx="25">
                  <c:v>7.25</c:v>
                </c:pt>
                <c:pt idx="26">
                  <c:v>7.5</c:v>
                </c:pt>
                <c:pt idx="27">
                  <c:v>7.75</c:v>
                </c:pt>
                <c:pt idx="28">
                  <c:v>8.0</c:v>
                </c:pt>
                <c:pt idx="29">
                  <c:v>8.25</c:v>
                </c:pt>
                <c:pt idx="30">
                  <c:v>8.5</c:v>
                </c:pt>
                <c:pt idx="31">
                  <c:v>8.75</c:v>
                </c:pt>
                <c:pt idx="32">
                  <c:v>9.0</c:v>
                </c:pt>
                <c:pt idx="33">
                  <c:v>9.25</c:v>
                </c:pt>
                <c:pt idx="34">
                  <c:v>9.5</c:v>
                </c:pt>
                <c:pt idx="35">
                  <c:v>9.75</c:v>
                </c:pt>
                <c:pt idx="36">
                  <c:v>10.0</c:v>
                </c:pt>
                <c:pt idx="37">
                  <c:v>10.25</c:v>
                </c:pt>
                <c:pt idx="38">
                  <c:v>10.5</c:v>
                </c:pt>
                <c:pt idx="39">
                  <c:v>10.75</c:v>
                </c:pt>
                <c:pt idx="40">
                  <c:v>11.0</c:v>
                </c:pt>
                <c:pt idx="41">
                  <c:v>11.25</c:v>
                </c:pt>
                <c:pt idx="42">
                  <c:v>11.5</c:v>
                </c:pt>
                <c:pt idx="43">
                  <c:v>11.75</c:v>
                </c:pt>
                <c:pt idx="44">
                  <c:v>12.0</c:v>
                </c:pt>
                <c:pt idx="45">
                  <c:v>12.25</c:v>
                </c:pt>
                <c:pt idx="46">
                  <c:v>12.5</c:v>
                </c:pt>
                <c:pt idx="47">
                  <c:v>12.75</c:v>
                </c:pt>
                <c:pt idx="48">
                  <c:v>13.0</c:v>
                </c:pt>
                <c:pt idx="49">
                  <c:v>13.25</c:v>
                </c:pt>
                <c:pt idx="50">
                  <c:v>13.5</c:v>
                </c:pt>
                <c:pt idx="51">
                  <c:v>13.75</c:v>
                </c:pt>
                <c:pt idx="52">
                  <c:v>14.0</c:v>
                </c:pt>
                <c:pt idx="53">
                  <c:v>14.25</c:v>
                </c:pt>
                <c:pt idx="54">
                  <c:v>14.5</c:v>
                </c:pt>
                <c:pt idx="55">
                  <c:v>14.75</c:v>
                </c:pt>
                <c:pt idx="56">
                  <c:v>15.0</c:v>
                </c:pt>
                <c:pt idx="57">
                  <c:v>15.25</c:v>
                </c:pt>
                <c:pt idx="58">
                  <c:v>15.5</c:v>
                </c:pt>
                <c:pt idx="59">
                  <c:v>15.75</c:v>
                </c:pt>
                <c:pt idx="60">
                  <c:v>16.0</c:v>
                </c:pt>
                <c:pt idx="61">
                  <c:v>16.25</c:v>
                </c:pt>
                <c:pt idx="62">
                  <c:v>16.5</c:v>
                </c:pt>
                <c:pt idx="63">
                  <c:v>16.75</c:v>
                </c:pt>
                <c:pt idx="64">
                  <c:v>17.0</c:v>
                </c:pt>
                <c:pt idx="65">
                  <c:v>17.25</c:v>
                </c:pt>
              </c:numCache>
            </c:numRef>
          </c:xVal>
          <c:yVal>
            <c:numRef>
              <c:f>成長曲線_データ!$Z$8:$Z$73</c:f>
              <c:numCache>
                <c:formatCode>General</c:formatCode>
                <c:ptCount val="66"/>
                <c:pt idx="0">
                  <c:v>14.8</c:v>
                </c:pt>
                <c:pt idx="1">
                  <c:v>12.7</c:v>
                </c:pt>
                <c:pt idx="2">
                  <c:v>11.3</c:v>
                </c:pt>
                <c:pt idx="3">
                  <c:v>10.3</c:v>
                </c:pt>
                <c:pt idx="4">
                  <c:v>9.600000000000001</c:v>
                </c:pt>
                <c:pt idx="5">
                  <c:v>9.200000000000001</c:v>
                </c:pt>
                <c:pt idx="6">
                  <c:v>8.8</c:v>
                </c:pt>
                <c:pt idx="7">
                  <c:v>8.5</c:v>
                </c:pt>
                <c:pt idx="8">
                  <c:v>8.200000000000001</c:v>
                </c:pt>
                <c:pt idx="9">
                  <c:v>8.0</c:v>
                </c:pt>
                <c:pt idx="10">
                  <c:v>7.899999999999999</c:v>
                </c:pt>
                <c:pt idx="11">
                  <c:v>7.7</c:v>
                </c:pt>
                <c:pt idx="12">
                  <c:v>7.6</c:v>
                </c:pt>
                <c:pt idx="13">
                  <c:v>7.5</c:v>
                </c:pt>
                <c:pt idx="14">
                  <c:v>7.4</c:v>
                </c:pt>
                <c:pt idx="15">
                  <c:v>7.3</c:v>
                </c:pt>
                <c:pt idx="16">
                  <c:v>7.2</c:v>
                </c:pt>
                <c:pt idx="17">
                  <c:v>7.100000000000001</c:v>
                </c:pt>
                <c:pt idx="18">
                  <c:v>7.0</c:v>
                </c:pt>
                <c:pt idx="19">
                  <c:v>7.0</c:v>
                </c:pt>
                <c:pt idx="20">
                  <c:v>6.8</c:v>
                </c:pt>
                <c:pt idx="21">
                  <c:v>6.8</c:v>
                </c:pt>
                <c:pt idx="22">
                  <c:v>6.6</c:v>
                </c:pt>
                <c:pt idx="23">
                  <c:v>6.5</c:v>
                </c:pt>
                <c:pt idx="24">
                  <c:v>6.4</c:v>
                </c:pt>
                <c:pt idx="25">
                  <c:v>6.3</c:v>
                </c:pt>
                <c:pt idx="26">
                  <c:v>6.2</c:v>
                </c:pt>
                <c:pt idx="27">
                  <c:v>6.2</c:v>
                </c:pt>
                <c:pt idx="28">
                  <c:v>6.2</c:v>
                </c:pt>
                <c:pt idx="29">
                  <c:v>6.1</c:v>
                </c:pt>
                <c:pt idx="30">
                  <c:v>6.1</c:v>
                </c:pt>
                <c:pt idx="31">
                  <c:v>6.1</c:v>
                </c:pt>
                <c:pt idx="32">
                  <c:v>6.2</c:v>
                </c:pt>
                <c:pt idx="33">
                  <c:v>6.2</c:v>
                </c:pt>
                <c:pt idx="34">
                  <c:v>6.399999999999999</c:v>
                </c:pt>
                <c:pt idx="35">
                  <c:v>6.7</c:v>
                </c:pt>
                <c:pt idx="36">
                  <c:v>7.1</c:v>
                </c:pt>
                <c:pt idx="37">
                  <c:v>7.5</c:v>
                </c:pt>
                <c:pt idx="38">
                  <c:v>8.2</c:v>
                </c:pt>
                <c:pt idx="39">
                  <c:v>8.9</c:v>
                </c:pt>
                <c:pt idx="40">
                  <c:v>9.4</c:v>
                </c:pt>
                <c:pt idx="41">
                  <c:v>9.0</c:v>
                </c:pt>
                <c:pt idx="42">
                  <c:v>8.3</c:v>
                </c:pt>
                <c:pt idx="43">
                  <c:v>7.5</c:v>
                </c:pt>
                <c:pt idx="44">
                  <c:v>6.6</c:v>
                </c:pt>
                <c:pt idx="45">
                  <c:v>5.9</c:v>
                </c:pt>
                <c:pt idx="46">
                  <c:v>5.100000000000001</c:v>
                </c:pt>
                <c:pt idx="47">
                  <c:v>4.4</c:v>
                </c:pt>
                <c:pt idx="48">
                  <c:v>3.9</c:v>
                </c:pt>
                <c:pt idx="49">
                  <c:v>3.3</c:v>
                </c:pt>
                <c:pt idx="50">
                  <c:v>2.9</c:v>
                </c:pt>
                <c:pt idx="51">
                  <c:v>2.5</c:v>
                </c:pt>
                <c:pt idx="52">
                  <c:v>2.1</c:v>
                </c:pt>
                <c:pt idx="53">
                  <c:v>1.9</c:v>
                </c:pt>
                <c:pt idx="54">
                  <c:v>1.6</c:v>
                </c:pt>
                <c:pt idx="55">
                  <c:v>1.4</c:v>
                </c:pt>
                <c:pt idx="56">
                  <c:v>1.2</c:v>
                </c:pt>
                <c:pt idx="57">
                  <c:v>1.1</c:v>
                </c:pt>
                <c:pt idx="58">
                  <c:v>0.9</c:v>
                </c:pt>
                <c:pt idx="59">
                  <c:v>0.8</c:v>
                </c:pt>
                <c:pt idx="60">
                  <c:v>0.8</c:v>
                </c:pt>
                <c:pt idx="61">
                  <c:v>0.7</c:v>
                </c:pt>
                <c:pt idx="62">
                  <c:v>0.5</c:v>
                </c:pt>
                <c:pt idx="63">
                  <c:v>0.5</c:v>
                </c:pt>
                <c:pt idx="64">
                  <c:v>0.3</c:v>
                </c:pt>
                <c:pt idx="65">
                  <c:v>0.3</c:v>
                </c:pt>
              </c:numCache>
            </c:numRef>
          </c:yVal>
          <c:smooth val="0"/>
        </c:ser>
        <c:ser>
          <c:idx val="10"/>
          <c:order val="10"/>
          <c:tx>
            <c:strRef>
              <c:f>成長曲線_データ!$AA$2</c:f>
              <c:strCache>
                <c:ptCount val="1"/>
                <c:pt idx="0">
                  <c:v>-1SD</c:v>
                </c:pt>
              </c:strCache>
            </c:strRef>
          </c:tx>
          <c:spPr>
            <a:ln w="12700">
              <a:solidFill>
                <a:schemeClr val="tx1"/>
              </a:solidFill>
            </a:ln>
          </c:spPr>
          <c:marker>
            <c:symbol val="none"/>
          </c:marker>
          <c:xVal>
            <c:numRef>
              <c:f>成長曲線_データ!$V$8:$V$73</c:f>
              <c:numCache>
                <c:formatCode>General</c:formatCode>
                <c:ptCount val="66"/>
                <c:pt idx="0">
                  <c:v>1.0</c:v>
                </c:pt>
                <c:pt idx="1">
                  <c:v>1.25</c:v>
                </c:pt>
                <c:pt idx="2">
                  <c:v>1.5</c:v>
                </c:pt>
                <c:pt idx="3">
                  <c:v>1.75</c:v>
                </c:pt>
                <c:pt idx="4">
                  <c:v>2.0</c:v>
                </c:pt>
                <c:pt idx="5">
                  <c:v>2.25</c:v>
                </c:pt>
                <c:pt idx="6">
                  <c:v>2.5</c:v>
                </c:pt>
                <c:pt idx="7">
                  <c:v>2.75</c:v>
                </c:pt>
                <c:pt idx="8">
                  <c:v>3.0</c:v>
                </c:pt>
                <c:pt idx="9">
                  <c:v>3.25</c:v>
                </c:pt>
                <c:pt idx="10">
                  <c:v>3.5</c:v>
                </c:pt>
                <c:pt idx="11">
                  <c:v>3.75</c:v>
                </c:pt>
                <c:pt idx="12">
                  <c:v>4.0</c:v>
                </c:pt>
                <c:pt idx="13">
                  <c:v>4.25</c:v>
                </c:pt>
                <c:pt idx="14">
                  <c:v>4.5</c:v>
                </c:pt>
                <c:pt idx="15">
                  <c:v>4.75</c:v>
                </c:pt>
                <c:pt idx="16">
                  <c:v>5.0</c:v>
                </c:pt>
                <c:pt idx="17">
                  <c:v>5.25</c:v>
                </c:pt>
                <c:pt idx="18">
                  <c:v>5.5</c:v>
                </c:pt>
                <c:pt idx="19">
                  <c:v>5.75</c:v>
                </c:pt>
                <c:pt idx="20">
                  <c:v>6.0</c:v>
                </c:pt>
                <c:pt idx="21">
                  <c:v>6.25</c:v>
                </c:pt>
                <c:pt idx="22">
                  <c:v>6.5</c:v>
                </c:pt>
                <c:pt idx="23">
                  <c:v>6.75</c:v>
                </c:pt>
                <c:pt idx="24">
                  <c:v>7.0</c:v>
                </c:pt>
                <c:pt idx="25">
                  <c:v>7.25</c:v>
                </c:pt>
                <c:pt idx="26">
                  <c:v>7.5</c:v>
                </c:pt>
                <c:pt idx="27">
                  <c:v>7.75</c:v>
                </c:pt>
                <c:pt idx="28">
                  <c:v>8.0</c:v>
                </c:pt>
                <c:pt idx="29">
                  <c:v>8.25</c:v>
                </c:pt>
                <c:pt idx="30">
                  <c:v>8.5</c:v>
                </c:pt>
                <c:pt idx="31">
                  <c:v>8.75</c:v>
                </c:pt>
                <c:pt idx="32">
                  <c:v>9.0</c:v>
                </c:pt>
                <c:pt idx="33">
                  <c:v>9.25</c:v>
                </c:pt>
                <c:pt idx="34">
                  <c:v>9.5</c:v>
                </c:pt>
                <c:pt idx="35">
                  <c:v>9.75</c:v>
                </c:pt>
                <c:pt idx="36">
                  <c:v>10.0</c:v>
                </c:pt>
                <c:pt idx="37">
                  <c:v>10.25</c:v>
                </c:pt>
                <c:pt idx="38">
                  <c:v>10.5</c:v>
                </c:pt>
                <c:pt idx="39">
                  <c:v>10.75</c:v>
                </c:pt>
                <c:pt idx="40">
                  <c:v>11.0</c:v>
                </c:pt>
                <c:pt idx="41">
                  <c:v>11.25</c:v>
                </c:pt>
                <c:pt idx="42">
                  <c:v>11.5</c:v>
                </c:pt>
                <c:pt idx="43">
                  <c:v>11.75</c:v>
                </c:pt>
                <c:pt idx="44">
                  <c:v>12.0</c:v>
                </c:pt>
                <c:pt idx="45">
                  <c:v>12.25</c:v>
                </c:pt>
                <c:pt idx="46">
                  <c:v>12.5</c:v>
                </c:pt>
                <c:pt idx="47">
                  <c:v>12.75</c:v>
                </c:pt>
                <c:pt idx="48">
                  <c:v>13.0</c:v>
                </c:pt>
                <c:pt idx="49">
                  <c:v>13.25</c:v>
                </c:pt>
                <c:pt idx="50">
                  <c:v>13.5</c:v>
                </c:pt>
                <c:pt idx="51">
                  <c:v>13.75</c:v>
                </c:pt>
                <c:pt idx="52">
                  <c:v>14.0</c:v>
                </c:pt>
                <c:pt idx="53">
                  <c:v>14.25</c:v>
                </c:pt>
                <c:pt idx="54">
                  <c:v>14.5</c:v>
                </c:pt>
                <c:pt idx="55">
                  <c:v>14.75</c:v>
                </c:pt>
                <c:pt idx="56">
                  <c:v>15.0</c:v>
                </c:pt>
                <c:pt idx="57">
                  <c:v>15.25</c:v>
                </c:pt>
                <c:pt idx="58">
                  <c:v>15.5</c:v>
                </c:pt>
                <c:pt idx="59">
                  <c:v>15.75</c:v>
                </c:pt>
                <c:pt idx="60">
                  <c:v>16.0</c:v>
                </c:pt>
                <c:pt idx="61">
                  <c:v>16.25</c:v>
                </c:pt>
                <c:pt idx="62">
                  <c:v>16.5</c:v>
                </c:pt>
                <c:pt idx="63">
                  <c:v>16.75</c:v>
                </c:pt>
                <c:pt idx="64">
                  <c:v>17.0</c:v>
                </c:pt>
                <c:pt idx="65">
                  <c:v>17.25</c:v>
                </c:pt>
              </c:numCache>
            </c:numRef>
          </c:xVal>
          <c:yVal>
            <c:numRef>
              <c:f>成長曲線_データ!$AA$8:$AA$73</c:f>
              <c:numCache>
                <c:formatCode>General</c:formatCode>
                <c:ptCount val="66"/>
                <c:pt idx="0">
                  <c:v>12.0</c:v>
                </c:pt>
                <c:pt idx="1">
                  <c:v>10.5</c:v>
                </c:pt>
                <c:pt idx="2">
                  <c:v>9.3</c:v>
                </c:pt>
                <c:pt idx="3">
                  <c:v>8.5</c:v>
                </c:pt>
                <c:pt idx="4">
                  <c:v>8.0</c:v>
                </c:pt>
                <c:pt idx="5">
                  <c:v>7.6</c:v>
                </c:pt>
                <c:pt idx="6">
                  <c:v>7.2</c:v>
                </c:pt>
                <c:pt idx="7">
                  <c:v>6.9</c:v>
                </c:pt>
                <c:pt idx="8">
                  <c:v>6.6</c:v>
                </c:pt>
                <c:pt idx="9">
                  <c:v>6.4</c:v>
                </c:pt>
                <c:pt idx="10">
                  <c:v>6.3</c:v>
                </c:pt>
                <c:pt idx="11">
                  <c:v>6.3</c:v>
                </c:pt>
                <c:pt idx="12">
                  <c:v>6.2</c:v>
                </c:pt>
                <c:pt idx="13">
                  <c:v>6.1</c:v>
                </c:pt>
                <c:pt idx="14">
                  <c:v>6.0</c:v>
                </c:pt>
                <c:pt idx="15">
                  <c:v>5.899999999999999</c:v>
                </c:pt>
                <c:pt idx="16">
                  <c:v>5.8</c:v>
                </c:pt>
                <c:pt idx="17">
                  <c:v>5.7</c:v>
                </c:pt>
                <c:pt idx="18">
                  <c:v>5.6</c:v>
                </c:pt>
                <c:pt idx="19">
                  <c:v>5.6</c:v>
                </c:pt>
                <c:pt idx="20">
                  <c:v>5.399999999999999</c:v>
                </c:pt>
                <c:pt idx="21">
                  <c:v>5.399999999999999</c:v>
                </c:pt>
                <c:pt idx="22">
                  <c:v>5.2</c:v>
                </c:pt>
                <c:pt idx="23">
                  <c:v>5.1</c:v>
                </c:pt>
                <c:pt idx="24">
                  <c:v>5.0</c:v>
                </c:pt>
                <c:pt idx="25">
                  <c:v>4.899999999999999</c:v>
                </c:pt>
                <c:pt idx="26">
                  <c:v>4.8</c:v>
                </c:pt>
                <c:pt idx="27">
                  <c:v>4.6</c:v>
                </c:pt>
                <c:pt idx="28">
                  <c:v>4.6</c:v>
                </c:pt>
                <c:pt idx="29">
                  <c:v>4.5</c:v>
                </c:pt>
                <c:pt idx="30">
                  <c:v>4.5</c:v>
                </c:pt>
                <c:pt idx="31">
                  <c:v>4.5</c:v>
                </c:pt>
                <c:pt idx="32">
                  <c:v>4.6</c:v>
                </c:pt>
                <c:pt idx="33">
                  <c:v>4.6</c:v>
                </c:pt>
                <c:pt idx="34">
                  <c:v>4.8</c:v>
                </c:pt>
                <c:pt idx="35">
                  <c:v>5.100000000000001</c:v>
                </c:pt>
                <c:pt idx="36">
                  <c:v>5.5</c:v>
                </c:pt>
                <c:pt idx="37">
                  <c:v>5.9</c:v>
                </c:pt>
                <c:pt idx="38">
                  <c:v>6.399999999999999</c:v>
                </c:pt>
                <c:pt idx="39">
                  <c:v>6.9</c:v>
                </c:pt>
                <c:pt idx="40">
                  <c:v>7.200000000000001</c:v>
                </c:pt>
                <c:pt idx="41">
                  <c:v>7.0</c:v>
                </c:pt>
                <c:pt idx="42">
                  <c:v>6.5</c:v>
                </c:pt>
                <c:pt idx="43">
                  <c:v>5.9</c:v>
                </c:pt>
                <c:pt idx="44">
                  <c:v>5.0</c:v>
                </c:pt>
                <c:pt idx="45">
                  <c:v>4.1</c:v>
                </c:pt>
                <c:pt idx="46">
                  <c:v>3.3</c:v>
                </c:pt>
                <c:pt idx="47">
                  <c:v>2.6</c:v>
                </c:pt>
                <c:pt idx="48">
                  <c:v>2.1</c:v>
                </c:pt>
                <c:pt idx="49">
                  <c:v>1.7</c:v>
                </c:pt>
                <c:pt idx="50">
                  <c:v>1.5</c:v>
                </c:pt>
                <c:pt idx="51">
                  <c:v>1.1</c:v>
                </c:pt>
                <c:pt idx="52">
                  <c:v>0.9</c:v>
                </c:pt>
                <c:pt idx="53">
                  <c:v>0.7</c:v>
                </c:pt>
                <c:pt idx="54">
                  <c:v>0.6</c:v>
                </c:pt>
                <c:pt idx="55">
                  <c:v>0.4</c:v>
                </c:pt>
                <c:pt idx="56">
                  <c:v>0.4</c:v>
                </c:pt>
                <c:pt idx="57">
                  <c:v>0.3</c:v>
                </c:pt>
                <c:pt idx="58">
                  <c:v>0.1</c:v>
                </c:pt>
                <c:pt idx="59">
                  <c:v>0.0</c:v>
                </c:pt>
                <c:pt idx="60">
                  <c:v>0.0</c:v>
                </c:pt>
                <c:pt idx="61">
                  <c:v>0.0</c:v>
                </c:pt>
                <c:pt idx="62">
                  <c:v>0.0</c:v>
                </c:pt>
                <c:pt idx="63">
                  <c:v>0.0</c:v>
                </c:pt>
                <c:pt idx="64">
                  <c:v>0.0</c:v>
                </c:pt>
                <c:pt idx="65">
                  <c:v>0.0</c:v>
                </c:pt>
              </c:numCache>
            </c:numRef>
          </c:yVal>
          <c:smooth val="0"/>
        </c:ser>
        <c:ser>
          <c:idx val="11"/>
          <c:order val="11"/>
          <c:tx>
            <c:strRef>
              <c:f>成長曲線_データ!$AB$2</c:f>
              <c:strCache>
                <c:ptCount val="1"/>
                <c:pt idx="0">
                  <c:v>-2SD</c:v>
                </c:pt>
              </c:strCache>
            </c:strRef>
          </c:tx>
          <c:spPr>
            <a:ln w="12700">
              <a:solidFill>
                <a:schemeClr val="tx1"/>
              </a:solidFill>
            </a:ln>
          </c:spPr>
          <c:marker>
            <c:symbol val="none"/>
          </c:marker>
          <c:xVal>
            <c:numRef>
              <c:f>成長曲線_データ!$V$8:$V$73</c:f>
              <c:numCache>
                <c:formatCode>General</c:formatCode>
                <c:ptCount val="66"/>
                <c:pt idx="0">
                  <c:v>1.0</c:v>
                </c:pt>
                <c:pt idx="1">
                  <c:v>1.25</c:v>
                </c:pt>
                <c:pt idx="2">
                  <c:v>1.5</c:v>
                </c:pt>
                <c:pt idx="3">
                  <c:v>1.75</c:v>
                </c:pt>
                <c:pt idx="4">
                  <c:v>2.0</c:v>
                </c:pt>
                <c:pt idx="5">
                  <c:v>2.25</c:v>
                </c:pt>
                <c:pt idx="6">
                  <c:v>2.5</c:v>
                </c:pt>
                <c:pt idx="7">
                  <c:v>2.75</c:v>
                </c:pt>
                <c:pt idx="8">
                  <c:v>3.0</c:v>
                </c:pt>
                <c:pt idx="9">
                  <c:v>3.25</c:v>
                </c:pt>
                <c:pt idx="10">
                  <c:v>3.5</c:v>
                </c:pt>
                <c:pt idx="11">
                  <c:v>3.75</c:v>
                </c:pt>
                <c:pt idx="12">
                  <c:v>4.0</c:v>
                </c:pt>
                <c:pt idx="13">
                  <c:v>4.25</c:v>
                </c:pt>
                <c:pt idx="14">
                  <c:v>4.5</c:v>
                </c:pt>
                <c:pt idx="15">
                  <c:v>4.75</c:v>
                </c:pt>
                <c:pt idx="16">
                  <c:v>5.0</c:v>
                </c:pt>
                <c:pt idx="17">
                  <c:v>5.25</c:v>
                </c:pt>
                <c:pt idx="18">
                  <c:v>5.5</c:v>
                </c:pt>
                <c:pt idx="19">
                  <c:v>5.75</c:v>
                </c:pt>
                <c:pt idx="20">
                  <c:v>6.0</c:v>
                </c:pt>
                <c:pt idx="21">
                  <c:v>6.25</c:v>
                </c:pt>
                <c:pt idx="22">
                  <c:v>6.5</c:v>
                </c:pt>
                <c:pt idx="23">
                  <c:v>6.75</c:v>
                </c:pt>
                <c:pt idx="24">
                  <c:v>7.0</c:v>
                </c:pt>
                <c:pt idx="25">
                  <c:v>7.25</c:v>
                </c:pt>
                <c:pt idx="26">
                  <c:v>7.5</c:v>
                </c:pt>
                <c:pt idx="27">
                  <c:v>7.75</c:v>
                </c:pt>
                <c:pt idx="28">
                  <c:v>8.0</c:v>
                </c:pt>
                <c:pt idx="29">
                  <c:v>8.25</c:v>
                </c:pt>
                <c:pt idx="30">
                  <c:v>8.5</c:v>
                </c:pt>
                <c:pt idx="31">
                  <c:v>8.75</c:v>
                </c:pt>
                <c:pt idx="32">
                  <c:v>9.0</c:v>
                </c:pt>
                <c:pt idx="33">
                  <c:v>9.25</c:v>
                </c:pt>
                <c:pt idx="34">
                  <c:v>9.5</c:v>
                </c:pt>
                <c:pt idx="35">
                  <c:v>9.75</c:v>
                </c:pt>
                <c:pt idx="36">
                  <c:v>10.0</c:v>
                </c:pt>
                <c:pt idx="37">
                  <c:v>10.25</c:v>
                </c:pt>
                <c:pt idx="38">
                  <c:v>10.5</c:v>
                </c:pt>
                <c:pt idx="39">
                  <c:v>10.75</c:v>
                </c:pt>
                <c:pt idx="40">
                  <c:v>11.0</c:v>
                </c:pt>
                <c:pt idx="41">
                  <c:v>11.25</c:v>
                </c:pt>
                <c:pt idx="42">
                  <c:v>11.5</c:v>
                </c:pt>
                <c:pt idx="43">
                  <c:v>11.75</c:v>
                </c:pt>
                <c:pt idx="44">
                  <c:v>12.0</c:v>
                </c:pt>
                <c:pt idx="45">
                  <c:v>12.25</c:v>
                </c:pt>
                <c:pt idx="46">
                  <c:v>12.5</c:v>
                </c:pt>
                <c:pt idx="47">
                  <c:v>12.75</c:v>
                </c:pt>
                <c:pt idx="48">
                  <c:v>13.0</c:v>
                </c:pt>
                <c:pt idx="49">
                  <c:v>13.25</c:v>
                </c:pt>
                <c:pt idx="50">
                  <c:v>13.5</c:v>
                </c:pt>
                <c:pt idx="51">
                  <c:v>13.75</c:v>
                </c:pt>
                <c:pt idx="52">
                  <c:v>14.0</c:v>
                </c:pt>
                <c:pt idx="53">
                  <c:v>14.25</c:v>
                </c:pt>
                <c:pt idx="54">
                  <c:v>14.5</c:v>
                </c:pt>
                <c:pt idx="55">
                  <c:v>14.75</c:v>
                </c:pt>
                <c:pt idx="56">
                  <c:v>15.0</c:v>
                </c:pt>
                <c:pt idx="57">
                  <c:v>15.25</c:v>
                </c:pt>
                <c:pt idx="58">
                  <c:v>15.5</c:v>
                </c:pt>
                <c:pt idx="59">
                  <c:v>15.75</c:v>
                </c:pt>
                <c:pt idx="60">
                  <c:v>16.0</c:v>
                </c:pt>
                <c:pt idx="61">
                  <c:v>16.25</c:v>
                </c:pt>
                <c:pt idx="62">
                  <c:v>16.5</c:v>
                </c:pt>
                <c:pt idx="63">
                  <c:v>16.75</c:v>
                </c:pt>
                <c:pt idx="64">
                  <c:v>17.0</c:v>
                </c:pt>
                <c:pt idx="65">
                  <c:v>17.25</c:v>
                </c:pt>
              </c:numCache>
            </c:numRef>
          </c:xVal>
          <c:yVal>
            <c:numRef>
              <c:f>成長曲線_データ!$AB$8:$AB$73</c:f>
              <c:numCache>
                <c:formatCode>General</c:formatCode>
                <c:ptCount val="66"/>
                <c:pt idx="0">
                  <c:v>10.6</c:v>
                </c:pt>
                <c:pt idx="1">
                  <c:v>9.399999999999998</c:v>
                </c:pt>
                <c:pt idx="2">
                  <c:v>8.3</c:v>
                </c:pt>
                <c:pt idx="3">
                  <c:v>7.6</c:v>
                </c:pt>
                <c:pt idx="4">
                  <c:v>7.200000000000001</c:v>
                </c:pt>
                <c:pt idx="5">
                  <c:v>6.800000000000001</c:v>
                </c:pt>
                <c:pt idx="6">
                  <c:v>6.4</c:v>
                </c:pt>
                <c:pt idx="7">
                  <c:v>6.1</c:v>
                </c:pt>
                <c:pt idx="8">
                  <c:v>5.800000000000001</c:v>
                </c:pt>
                <c:pt idx="9">
                  <c:v>5.6</c:v>
                </c:pt>
                <c:pt idx="10">
                  <c:v>5.5</c:v>
                </c:pt>
                <c:pt idx="11">
                  <c:v>5.6</c:v>
                </c:pt>
                <c:pt idx="12">
                  <c:v>5.5</c:v>
                </c:pt>
                <c:pt idx="13">
                  <c:v>5.4</c:v>
                </c:pt>
                <c:pt idx="14">
                  <c:v>5.300000000000001</c:v>
                </c:pt>
                <c:pt idx="15">
                  <c:v>5.199999999999999</c:v>
                </c:pt>
                <c:pt idx="16">
                  <c:v>5.1</c:v>
                </c:pt>
                <c:pt idx="17">
                  <c:v>5.0</c:v>
                </c:pt>
                <c:pt idx="18">
                  <c:v>4.9</c:v>
                </c:pt>
                <c:pt idx="19">
                  <c:v>4.9</c:v>
                </c:pt>
                <c:pt idx="20">
                  <c:v>4.699999999999999</c:v>
                </c:pt>
                <c:pt idx="21">
                  <c:v>4.699999999999999</c:v>
                </c:pt>
                <c:pt idx="22">
                  <c:v>4.5</c:v>
                </c:pt>
                <c:pt idx="23">
                  <c:v>4.4</c:v>
                </c:pt>
                <c:pt idx="24">
                  <c:v>4.300000000000001</c:v>
                </c:pt>
                <c:pt idx="25">
                  <c:v>4.199999999999999</c:v>
                </c:pt>
                <c:pt idx="26">
                  <c:v>4.1</c:v>
                </c:pt>
                <c:pt idx="27">
                  <c:v>3.8</c:v>
                </c:pt>
                <c:pt idx="28">
                  <c:v>3.8</c:v>
                </c:pt>
                <c:pt idx="29">
                  <c:v>3.7</c:v>
                </c:pt>
                <c:pt idx="30">
                  <c:v>3.7</c:v>
                </c:pt>
                <c:pt idx="31">
                  <c:v>3.7</c:v>
                </c:pt>
                <c:pt idx="32">
                  <c:v>3.8</c:v>
                </c:pt>
                <c:pt idx="33">
                  <c:v>3.8</c:v>
                </c:pt>
                <c:pt idx="34">
                  <c:v>4</c:v>
                </c:pt>
                <c:pt idx="35">
                  <c:v>4.300000000000001</c:v>
                </c:pt>
                <c:pt idx="36">
                  <c:v>4.699999999999999</c:v>
                </c:pt>
                <c:pt idx="37">
                  <c:v>5.1</c:v>
                </c:pt>
                <c:pt idx="38">
                  <c:v>5.5</c:v>
                </c:pt>
                <c:pt idx="39">
                  <c:v>5.9</c:v>
                </c:pt>
                <c:pt idx="40">
                  <c:v>6.100000000000001</c:v>
                </c:pt>
                <c:pt idx="41">
                  <c:v>6.0</c:v>
                </c:pt>
                <c:pt idx="42">
                  <c:v>5.6</c:v>
                </c:pt>
                <c:pt idx="43">
                  <c:v>5.1</c:v>
                </c:pt>
                <c:pt idx="44">
                  <c:v>4.199999999999999</c:v>
                </c:pt>
                <c:pt idx="45">
                  <c:v>3.2</c:v>
                </c:pt>
                <c:pt idx="46">
                  <c:v>2.4</c:v>
                </c:pt>
                <c:pt idx="47">
                  <c:v>1.7</c:v>
                </c:pt>
                <c:pt idx="48">
                  <c:v>1.2</c:v>
                </c:pt>
                <c:pt idx="49">
                  <c:v>0.9</c:v>
                </c:pt>
                <c:pt idx="50">
                  <c:v>0.8</c:v>
                </c:pt>
                <c:pt idx="51">
                  <c:v>0.4</c:v>
                </c:pt>
                <c:pt idx="52">
                  <c:v>0.3</c:v>
                </c:pt>
                <c:pt idx="53">
                  <c:v>0.1</c:v>
                </c:pt>
                <c:pt idx="54">
                  <c:v>0.1</c:v>
                </c:pt>
                <c:pt idx="55">
                  <c:v>0.0</c:v>
                </c:pt>
                <c:pt idx="56">
                  <c:v>0.0</c:v>
                </c:pt>
                <c:pt idx="57">
                  <c:v>0.0</c:v>
                </c:pt>
                <c:pt idx="58">
                  <c:v>0.0</c:v>
                </c:pt>
                <c:pt idx="59">
                  <c:v>0.0</c:v>
                </c:pt>
                <c:pt idx="60">
                  <c:v>0.0</c:v>
                </c:pt>
                <c:pt idx="61">
                  <c:v>0.0</c:v>
                </c:pt>
                <c:pt idx="62">
                  <c:v>0.0</c:v>
                </c:pt>
                <c:pt idx="63">
                  <c:v>0.0</c:v>
                </c:pt>
                <c:pt idx="64">
                  <c:v>0.0</c:v>
                </c:pt>
                <c:pt idx="65">
                  <c:v>0.0</c:v>
                </c:pt>
              </c:numCache>
            </c:numRef>
          </c:yVal>
          <c:smooth val="0"/>
        </c:ser>
        <c:ser>
          <c:idx val="13"/>
          <c:order val="13"/>
          <c:tx>
            <c:strRef>
              <c:f>入力!$V$13</c:f>
              <c:strCache>
                <c:ptCount val="1"/>
                <c:pt idx="0">
                  <c:v> 成長速度</c:v>
                </c:pt>
              </c:strCache>
            </c:strRef>
          </c:tx>
          <c:spPr>
            <a:ln>
              <a:noFill/>
            </a:ln>
          </c:spPr>
          <c:marker>
            <c:symbol val="square"/>
            <c:size val="7"/>
            <c:spPr>
              <a:solidFill>
                <a:srgbClr val="0033CC"/>
              </a:solidFill>
              <a:ln w="19050">
                <a:solidFill>
                  <a:schemeClr val="bg1"/>
                </a:solidFill>
              </a:ln>
            </c:spPr>
          </c:marker>
          <c:xVal>
            <c:numRef>
              <c:f>入力!$AB$8:$AB$156</c:f>
              <c:numCache>
                <c:formatCode>0.00_);[Red]\(0.00\)</c:formatCode>
                <c:ptCount val="1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numCache>
            </c:numRef>
          </c:xVal>
          <c:yVal>
            <c:numRef>
              <c:f>入力!$J$8:$J$156</c:f>
              <c:numCache>
                <c:formatCode>0.0_ </c:formatCode>
                <c:ptCount val="149"/>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pt idx="52">
                  <c:v>0.0</c:v>
                </c:pt>
                <c:pt idx="53">
                  <c:v>0.0</c:v>
                </c:pt>
                <c:pt idx="54">
                  <c:v>0.0</c:v>
                </c:pt>
                <c:pt idx="55">
                  <c:v>0.0</c:v>
                </c:pt>
                <c:pt idx="56">
                  <c:v>0.0</c:v>
                </c:pt>
                <c:pt idx="57">
                  <c:v>0.0</c:v>
                </c:pt>
                <c:pt idx="58">
                  <c:v>0.0</c:v>
                </c:pt>
                <c:pt idx="59">
                  <c:v>0.0</c:v>
                </c:pt>
                <c:pt idx="60">
                  <c:v>0.0</c:v>
                </c:pt>
                <c:pt idx="61">
                  <c:v>0.0</c:v>
                </c:pt>
                <c:pt idx="62">
                  <c:v>0.0</c:v>
                </c:pt>
                <c:pt idx="63">
                  <c:v>0.0</c:v>
                </c:pt>
                <c:pt idx="64">
                  <c:v>0.0</c:v>
                </c:pt>
                <c:pt idx="65">
                  <c:v>0.0</c:v>
                </c:pt>
                <c:pt idx="66">
                  <c:v>0.0</c:v>
                </c:pt>
                <c:pt idx="67">
                  <c:v>0.0</c:v>
                </c:pt>
                <c:pt idx="68">
                  <c:v>0.0</c:v>
                </c:pt>
                <c:pt idx="69">
                  <c:v>0.0</c:v>
                </c:pt>
                <c:pt idx="70">
                  <c:v>0.0</c:v>
                </c:pt>
                <c:pt idx="71">
                  <c:v>0.0</c:v>
                </c:pt>
                <c:pt idx="72">
                  <c:v>0.0</c:v>
                </c:pt>
                <c:pt idx="73">
                  <c:v>0.0</c:v>
                </c:pt>
                <c:pt idx="74">
                  <c:v>0.0</c:v>
                </c:pt>
                <c:pt idx="75">
                  <c:v>0.0</c:v>
                </c:pt>
                <c:pt idx="76">
                  <c:v>0.0</c:v>
                </c:pt>
                <c:pt idx="77">
                  <c:v>0.0</c:v>
                </c:pt>
                <c:pt idx="78">
                  <c:v>0.0</c:v>
                </c:pt>
                <c:pt idx="79">
                  <c:v>0.0</c:v>
                </c:pt>
                <c:pt idx="80">
                  <c:v>0.0</c:v>
                </c:pt>
                <c:pt idx="81">
                  <c:v>0.0</c:v>
                </c:pt>
                <c:pt idx="82">
                  <c:v>0.0</c:v>
                </c:pt>
                <c:pt idx="83">
                  <c:v>0.0</c:v>
                </c:pt>
                <c:pt idx="84">
                  <c:v>0.0</c:v>
                </c:pt>
                <c:pt idx="85">
                  <c:v>0.0</c:v>
                </c:pt>
                <c:pt idx="86">
                  <c:v>0.0</c:v>
                </c:pt>
                <c:pt idx="87">
                  <c:v>0.0</c:v>
                </c:pt>
                <c:pt idx="88">
                  <c:v>0.0</c:v>
                </c:pt>
                <c:pt idx="89">
                  <c:v>0.0</c:v>
                </c:pt>
                <c:pt idx="90">
                  <c:v>0.0</c:v>
                </c:pt>
                <c:pt idx="91">
                  <c:v>0.0</c:v>
                </c:pt>
                <c:pt idx="92">
                  <c:v>0.0</c:v>
                </c:pt>
                <c:pt idx="93">
                  <c:v>0.0</c:v>
                </c:pt>
                <c:pt idx="94">
                  <c:v>0.0</c:v>
                </c:pt>
                <c:pt idx="95">
                  <c:v>0.0</c:v>
                </c:pt>
                <c:pt idx="96">
                  <c:v>0.0</c:v>
                </c:pt>
                <c:pt idx="97">
                  <c:v>0.0</c:v>
                </c:pt>
                <c:pt idx="98">
                  <c:v>0.0</c:v>
                </c:pt>
                <c:pt idx="99">
                  <c:v>0.0</c:v>
                </c:pt>
                <c:pt idx="100">
                  <c:v>0.0</c:v>
                </c:pt>
                <c:pt idx="101">
                  <c:v>0.0</c:v>
                </c:pt>
                <c:pt idx="102">
                  <c:v>0.0</c:v>
                </c:pt>
                <c:pt idx="103">
                  <c:v>0.0</c:v>
                </c:pt>
                <c:pt idx="104">
                  <c:v>0.0</c:v>
                </c:pt>
                <c:pt idx="105">
                  <c:v>0.0</c:v>
                </c:pt>
                <c:pt idx="106">
                  <c:v>0.0</c:v>
                </c:pt>
                <c:pt idx="107">
                  <c:v>0.0</c:v>
                </c:pt>
                <c:pt idx="108">
                  <c:v>0.0</c:v>
                </c:pt>
                <c:pt idx="109">
                  <c:v>0.0</c:v>
                </c:pt>
                <c:pt idx="110">
                  <c:v>0.0</c:v>
                </c:pt>
                <c:pt idx="111">
                  <c:v>0.0</c:v>
                </c:pt>
                <c:pt idx="112">
                  <c:v>0.0</c:v>
                </c:pt>
                <c:pt idx="113">
                  <c:v>0.0</c:v>
                </c:pt>
                <c:pt idx="114">
                  <c:v>0.0</c:v>
                </c:pt>
                <c:pt idx="115">
                  <c:v>0.0</c:v>
                </c:pt>
                <c:pt idx="116">
                  <c:v>0.0</c:v>
                </c:pt>
                <c:pt idx="117">
                  <c:v>0.0</c:v>
                </c:pt>
                <c:pt idx="118">
                  <c:v>0.0</c:v>
                </c:pt>
                <c:pt idx="119">
                  <c:v>0.0</c:v>
                </c:pt>
                <c:pt idx="120">
                  <c:v>0.0</c:v>
                </c:pt>
                <c:pt idx="121">
                  <c:v>0.0</c:v>
                </c:pt>
                <c:pt idx="122">
                  <c:v>0.0</c:v>
                </c:pt>
                <c:pt idx="123">
                  <c:v>0.0</c:v>
                </c:pt>
                <c:pt idx="124">
                  <c:v>0.0</c:v>
                </c:pt>
                <c:pt idx="125">
                  <c:v>0.0</c:v>
                </c:pt>
                <c:pt idx="126">
                  <c:v>0.0</c:v>
                </c:pt>
                <c:pt idx="127">
                  <c:v>0.0</c:v>
                </c:pt>
                <c:pt idx="128">
                  <c:v>0.0</c:v>
                </c:pt>
                <c:pt idx="129">
                  <c:v>0.0</c:v>
                </c:pt>
                <c:pt idx="130">
                  <c:v>0.0</c:v>
                </c:pt>
                <c:pt idx="131">
                  <c:v>0.0</c:v>
                </c:pt>
                <c:pt idx="132">
                  <c:v>0.0</c:v>
                </c:pt>
                <c:pt idx="133">
                  <c:v>0.0</c:v>
                </c:pt>
                <c:pt idx="134">
                  <c:v>0.0</c:v>
                </c:pt>
                <c:pt idx="135">
                  <c:v>0.0</c:v>
                </c:pt>
                <c:pt idx="136">
                  <c:v>0.0</c:v>
                </c:pt>
                <c:pt idx="137">
                  <c:v>0.0</c:v>
                </c:pt>
                <c:pt idx="138">
                  <c:v>0.0</c:v>
                </c:pt>
                <c:pt idx="139">
                  <c:v>0.0</c:v>
                </c:pt>
                <c:pt idx="140">
                  <c:v>0.0</c:v>
                </c:pt>
                <c:pt idx="141">
                  <c:v>0.0</c:v>
                </c:pt>
                <c:pt idx="142">
                  <c:v>0.0</c:v>
                </c:pt>
                <c:pt idx="143">
                  <c:v>0.0</c:v>
                </c:pt>
                <c:pt idx="144">
                  <c:v>0.0</c:v>
                </c:pt>
                <c:pt idx="145">
                  <c:v>0.0</c:v>
                </c:pt>
                <c:pt idx="146">
                  <c:v>0.0</c:v>
                </c:pt>
                <c:pt idx="147">
                  <c:v>0.0</c:v>
                </c:pt>
                <c:pt idx="148">
                  <c:v>0.0</c:v>
                </c:pt>
              </c:numCache>
            </c:numRef>
          </c:yVal>
          <c:smooth val="0"/>
        </c:ser>
        <c:ser>
          <c:idx val="14"/>
          <c:order val="14"/>
          <c:tx>
            <c:strRef>
              <c:f>成長曲線_データ!$Y$2</c:f>
              <c:strCache>
                <c:ptCount val="1"/>
                <c:pt idx="0">
                  <c:v>+2SD</c:v>
                </c:pt>
              </c:strCache>
            </c:strRef>
          </c:tx>
          <c:spPr>
            <a:ln w="12700">
              <a:solidFill>
                <a:schemeClr val="tx1"/>
              </a:solidFill>
              <a:prstDash val="dash"/>
            </a:ln>
          </c:spPr>
          <c:marker>
            <c:symbol val="circle"/>
            <c:size val="3"/>
            <c:spPr>
              <a:solidFill>
                <a:schemeClr val="tx1"/>
              </a:solidFill>
              <a:ln>
                <a:noFill/>
              </a:ln>
            </c:spPr>
          </c:marker>
          <c:xVal>
            <c:numRef>
              <c:f>成長曲線_データ!$V$216:$V$220</c:f>
              <c:numCache>
                <c:formatCode>General</c:formatCode>
                <c:ptCount val="5"/>
                <c:pt idx="0">
                  <c:v>8.833333333333333</c:v>
                </c:pt>
                <c:pt idx="1">
                  <c:v>9.916666666666666</c:v>
                </c:pt>
                <c:pt idx="2">
                  <c:v>11.0</c:v>
                </c:pt>
                <c:pt idx="3">
                  <c:v>12.08333333333333</c:v>
                </c:pt>
                <c:pt idx="4">
                  <c:v>13.16666666666667</c:v>
                </c:pt>
              </c:numCache>
            </c:numRef>
          </c:xVal>
          <c:yVal>
            <c:numRef>
              <c:f>成長曲線_データ!$Y$216:$Y$220</c:f>
              <c:numCache>
                <c:formatCode>General</c:formatCode>
                <c:ptCount val="5"/>
                <c:pt idx="0">
                  <c:v>11.3</c:v>
                </c:pt>
                <c:pt idx="1">
                  <c:v>10.9</c:v>
                </c:pt>
                <c:pt idx="2">
                  <c:v>10.3</c:v>
                </c:pt>
                <c:pt idx="3">
                  <c:v>10.3</c:v>
                </c:pt>
                <c:pt idx="4">
                  <c:v>9.8</c:v>
                </c:pt>
              </c:numCache>
            </c:numRef>
          </c:yVal>
          <c:smooth val="0"/>
        </c:ser>
        <c:ser>
          <c:idx val="15"/>
          <c:order val="15"/>
          <c:tx>
            <c:strRef>
              <c:f>成長曲線_データ!$Z$2</c:f>
              <c:strCache>
                <c:ptCount val="1"/>
                <c:pt idx="0">
                  <c:v>+1SD</c:v>
                </c:pt>
              </c:strCache>
            </c:strRef>
          </c:tx>
          <c:spPr>
            <a:ln w="12700">
              <a:solidFill>
                <a:sysClr val="windowText" lastClr="000000"/>
              </a:solidFill>
              <a:prstDash val="dash"/>
            </a:ln>
          </c:spPr>
          <c:marker>
            <c:symbol val="circle"/>
            <c:size val="3"/>
            <c:spPr>
              <a:solidFill>
                <a:sysClr val="windowText" lastClr="000000"/>
              </a:solidFill>
              <a:ln>
                <a:noFill/>
              </a:ln>
            </c:spPr>
          </c:marker>
          <c:xVal>
            <c:numRef>
              <c:f>成長曲線_データ!$V$216:$V$220</c:f>
              <c:numCache>
                <c:formatCode>General</c:formatCode>
                <c:ptCount val="5"/>
                <c:pt idx="0">
                  <c:v>8.833333333333333</c:v>
                </c:pt>
                <c:pt idx="1">
                  <c:v>9.916666666666666</c:v>
                </c:pt>
                <c:pt idx="2">
                  <c:v>11.0</c:v>
                </c:pt>
                <c:pt idx="3">
                  <c:v>12.08333333333333</c:v>
                </c:pt>
                <c:pt idx="4">
                  <c:v>13.16666666666667</c:v>
                </c:pt>
              </c:numCache>
            </c:numRef>
          </c:xVal>
          <c:yVal>
            <c:numRef>
              <c:f>成長曲線_データ!$Z$216:$Z$220</c:f>
              <c:numCache>
                <c:formatCode>General</c:formatCode>
                <c:ptCount val="5"/>
                <c:pt idx="0">
                  <c:v>10.0</c:v>
                </c:pt>
                <c:pt idx="1">
                  <c:v>9.799999999999998</c:v>
                </c:pt>
                <c:pt idx="2">
                  <c:v>9.3</c:v>
                </c:pt>
                <c:pt idx="3">
                  <c:v>9.2</c:v>
                </c:pt>
                <c:pt idx="4">
                  <c:v>8.7</c:v>
                </c:pt>
              </c:numCache>
            </c:numRef>
          </c:yVal>
          <c:smooth val="0"/>
        </c:ser>
        <c:ser>
          <c:idx val="16"/>
          <c:order val="16"/>
          <c:tx>
            <c:strRef>
              <c:f>成長曲線_データ!$T$218</c:f>
              <c:strCache>
                <c:ptCount val="1"/>
                <c:pt idx="0">
                  <c:v>mean</c:v>
                </c:pt>
              </c:strCache>
            </c:strRef>
          </c:tx>
          <c:spPr>
            <a:ln w="12700">
              <a:solidFill>
                <a:sysClr val="windowText" lastClr="000000"/>
              </a:solidFill>
              <a:prstDash val="dash"/>
            </a:ln>
          </c:spPr>
          <c:marker>
            <c:symbol val="circle"/>
            <c:size val="3"/>
            <c:spPr>
              <a:solidFill>
                <a:sysClr val="windowText" lastClr="000000"/>
              </a:solidFill>
              <a:ln>
                <a:noFill/>
              </a:ln>
            </c:spPr>
          </c:marker>
          <c:xVal>
            <c:numRef>
              <c:f>成長曲線_データ!$V$216:$V$220</c:f>
              <c:numCache>
                <c:formatCode>General</c:formatCode>
                <c:ptCount val="5"/>
                <c:pt idx="0">
                  <c:v>8.833333333333333</c:v>
                </c:pt>
                <c:pt idx="1">
                  <c:v>9.916666666666666</c:v>
                </c:pt>
                <c:pt idx="2">
                  <c:v>11.0</c:v>
                </c:pt>
                <c:pt idx="3">
                  <c:v>12.08333333333333</c:v>
                </c:pt>
                <c:pt idx="4">
                  <c:v>13.16666666666667</c:v>
                </c:pt>
              </c:numCache>
            </c:numRef>
          </c:xVal>
          <c:yVal>
            <c:numRef>
              <c:f>成長曲線_データ!$W$216:$W$220</c:f>
              <c:numCache>
                <c:formatCode>General</c:formatCode>
                <c:ptCount val="5"/>
                <c:pt idx="0">
                  <c:v>8.7</c:v>
                </c:pt>
                <c:pt idx="1">
                  <c:v>8.7</c:v>
                </c:pt>
                <c:pt idx="2">
                  <c:v>8.3</c:v>
                </c:pt>
                <c:pt idx="3">
                  <c:v>8.1</c:v>
                </c:pt>
                <c:pt idx="4">
                  <c:v>7.6</c:v>
                </c:pt>
              </c:numCache>
            </c:numRef>
          </c:yVal>
          <c:smooth val="0"/>
        </c:ser>
        <c:ser>
          <c:idx val="17"/>
          <c:order val="17"/>
          <c:tx>
            <c:strRef>
              <c:f>成長曲線_データ!$AA$2</c:f>
              <c:strCache>
                <c:ptCount val="1"/>
                <c:pt idx="0">
                  <c:v>-1SD</c:v>
                </c:pt>
              </c:strCache>
            </c:strRef>
          </c:tx>
          <c:spPr>
            <a:ln w="12700">
              <a:solidFill>
                <a:schemeClr val="tx1"/>
              </a:solidFill>
              <a:prstDash val="dash"/>
            </a:ln>
          </c:spPr>
          <c:marker>
            <c:symbol val="circle"/>
            <c:size val="3"/>
            <c:spPr>
              <a:solidFill>
                <a:sysClr val="windowText" lastClr="000000"/>
              </a:solidFill>
              <a:ln>
                <a:noFill/>
              </a:ln>
            </c:spPr>
          </c:marker>
          <c:xVal>
            <c:numRef>
              <c:f>成長曲線_データ!$V$216:$V$220</c:f>
              <c:numCache>
                <c:formatCode>General</c:formatCode>
                <c:ptCount val="5"/>
                <c:pt idx="0">
                  <c:v>8.833333333333333</c:v>
                </c:pt>
                <c:pt idx="1">
                  <c:v>9.916666666666666</c:v>
                </c:pt>
                <c:pt idx="2">
                  <c:v>11.0</c:v>
                </c:pt>
                <c:pt idx="3">
                  <c:v>12.08333333333333</c:v>
                </c:pt>
                <c:pt idx="4">
                  <c:v>13.16666666666667</c:v>
                </c:pt>
              </c:numCache>
            </c:numRef>
          </c:xVal>
          <c:yVal>
            <c:numRef>
              <c:f>成長曲線_データ!$AA$216:$AA$220</c:f>
              <c:numCache>
                <c:formatCode>General</c:formatCode>
                <c:ptCount val="5"/>
                <c:pt idx="0">
                  <c:v>7.399999999999999</c:v>
                </c:pt>
                <c:pt idx="1">
                  <c:v>7.6</c:v>
                </c:pt>
                <c:pt idx="2">
                  <c:v>7.300000000000001</c:v>
                </c:pt>
                <c:pt idx="3">
                  <c:v>7.0</c:v>
                </c:pt>
                <c:pt idx="4">
                  <c:v>6.5</c:v>
                </c:pt>
              </c:numCache>
            </c:numRef>
          </c:yVal>
          <c:smooth val="0"/>
        </c:ser>
        <c:ser>
          <c:idx val="18"/>
          <c:order val="18"/>
          <c:tx>
            <c:strRef>
              <c:f>成長曲線_データ!$AB$2</c:f>
              <c:strCache>
                <c:ptCount val="1"/>
                <c:pt idx="0">
                  <c:v>-2SD</c:v>
                </c:pt>
              </c:strCache>
            </c:strRef>
          </c:tx>
          <c:spPr>
            <a:ln w="12700">
              <a:solidFill>
                <a:schemeClr val="tx1"/>
              </a:solidFill>
              <a:prstDash val="dash"/>
            </a:ln>
          </c:spPr>
          <c:marker>
            <c:symbol val="circle"/>
            <c:size val="3"/>
            <c:spPr>
              <a:solidFill>
                <a:sysClr val="windowText" lastClr="000000"/>
              </a:solidFill>
              <a:ln>
                <a:noFill/>
              </a:ln>
            </c:spPr>
          </c:marker>
          <c:xVal>
            <c:numRef>
              <c:f>成長曲線_データ!$V$216:$V$220</c:f>
              <c:numCache>
                <c:formatCode>General</c:formatCode>
                <c:ptCount val="5"/>
                <c:pt idx="0">
                  <c:v>8.833333333333333</c:v>
                </c:pt>
                <c:pt idx="1">
                  <c:v>9.916666666666666</c:v>
                </c:pt>
                <c:pt idx="2">
                  <c:v>11.0</c:v>
                </c:pt>
                <c:pt idx="3">
                  <c:v>12.08333333333333</c:v>
                </c:pt>
                <c:pt idx="4">
                  <c:v>13.16666666666667</c:v>
                </c:pt>
              </c:numCache>
            </c:numRef>
          </c:xVal>
          <c:yVal>
            <c:numRef>
              <c:f>成長曲線_データ!$AB$216:$AB$220</c:f>
              <c:numCache>
                <c:formatCode>General</c:formatCode>
                <c:ptCount val="5"/>
                <c:pt idx="0">
                  <c:v>6.1</c:v>
                </c:pt>
                <c:pt idx="1">
                  <c:v>6.5</c:v>
                </c:pt>
                <c:pt idx="2">
                  <c:v>6.300000000000001</c:v>
                </c:pt>
                <c:pt idx="3">
                  <c:v>5.899999999999999</c:v>
                </c:pt>
                <c:pt idx="4">
                  <c:v>5.399999999999999</c:v>
                </c:pt>
              </c:numCache>
            </c:numRef>
          </c:yVal>
          <c:smooth val="0"/>
        </c:ser>
        <c:dLbls>
          <c:showLegendKey val="0"/>
          <c:showVal val="0"/>
          <c:showCatName val="0"/>
          <c:showSerName val="0"/>
          <c:showPercent val="0"/>
          <c:showBubbleSize val="0"/>
        </c:dLbls>
        <c:axId val="-887805520"/>
        <c:axId val="-983215920"/>
      </c:scatterChart>
      <c:valAx>
        <c:axId val="-953614880"/>
        <c:scaling>
          <c:orientation val="minMax"/>
          <c:max val="18.0"/>
        </c:scaling>
        <c:delete val="0"/>
        <c:axPos val="b"/>
        <c:majorGridlines/>
        <c:title>
          <c:tx>
            <c:rich>
              <a:bodyPr/>
              <a:lstStyle/>
              <a:p>
                <a:pPr>
                  <a:defRPr/>
                </a:pPr>
                <a:r>
                  <a:rPr lang="ja-JP" altLang="en-US"/>
                  <a:t>年齢</a:t>
                </a:r>
                <a:r>
                  <a:rPr lang="en-US" altLang="ja-JP"/>
                  <a:t>(</a:t>
                </a:r>
                <a:r>
                  <a:rPr lang="ja-JP" altLang="en-US"/>
                  <a:t>年</a:t>
                </a:r>
                <a:r>
                  <a:rPr lang="en-US" altLang="ja-JP"/>
                  <a:t>)</a:t>
                </a:r>
                <a:endParaRPr lang="ja-JP" altLang="en-US"/>
              </a:p>
            </c:rich>
          </c:tx>
          <c:overlay val="0"/>
        </c:title>
        <c:numFmt formatCode="General" sourceLinked="0"/>
        <c:majorTickMark val="out"/>
        <c:minorTickMark val="none"/>
        <c:tickLblPos val="nextTo"/>
        <c:crossAx val="-983223248"/>
        <c:crosses val="autoZero"/>
        <c:crossBetween val="midCat"/>
        <c:majorUnit val="1.0"/>
      </c:valAx>
      <c:valAx>
        <c:axId val="-983223248"/>
        <c:scaling>
          <c:orientation val="minMax"/>
          <c:max val="190.0"/>
          <c:min val="40.0"/>
        </c:scaling>
        <c:delete val="0"/>
        <c:axPos val="l"/>
        <c:majorGridlines/>
        <c:minorGridlines/>
        <c:title>
          <c:tx>
            <c:rich>
              <a:bodyPr rot="-5400000" vert="horz"/>
              <a:lstStyle/>
              <a:p>
                <a:pPr>
                  <a:defRPr/>
                </a:pPr>
                <a:r>
                  <a:rPr lang="ja-JP" altLang="en-US"/>
                  <a:t>身長</a:t>
                </a:r>
                <a:r>
                  <a:rPr lang="en-US" altLang="ja-JP"/>
                  <a:t>(cm)</a:t>
                </a:r>
                <a:endParaRPr lang="ja-JP" altLang="en-US"/>
              </a:p>
            </c:rich>
          </c:tx>
          <c:overlay val="0"/>
        </c:title>
        <c:numFmt formatCode="General" sourceLinked="1"/>
        <c:majorTickMark val="out"/>
        <c:minorTickMark val="none"/>
        <c:tickLblPos val="nextTo"/>
        <c:crossAx val="-953614880"/>
        <c:crosses val="autoZero"/>
        <c:crossBetween val="midCat"/>
        <c:majorUnit val="10.0"/>
        <c:minorUnit val="5.0"/>
      </c:valAx>
      <c:valAx>
        <c:axId val="-983215920"/>
        <c:scaling>
          <c:orientation val="minMax"/>
          <c:max val="30.0"/>
          <c:min val="0.0"/>
        </c:scaling>
        <c:delete val="0"/>
        <c:axPos val="r"/>
        <c:title>
          <c:tx>
            <c:rich>
              <a:bodyPr rot="-5400000" vert="horz"/>
              <a:lstStyle/>
              <a:p>
                <a:pPr>
                  <a:defRPr/>
                </a:pPr>
                <a:r>
                  <a:rPr lang="ja-JP" altLang="en-US"/>
                  <a:t>成長速度</a:t>
                </a:r>
                <a:r>
                  <a:rPr lang="en-US" altLang="ja-JP"/>
                  <a:t>(cm/</a:t>
                </a:r>
                <a:r>
                  <a:rPr lang="ja-JP" altLang="en-US"/>
                  <a:t>年</a:t>
                </a:r>
                <a:r>
                  <a:rPr lang="en-US" altLang="ja-JP"/>
                  <a:t>)</a:t>
                </a:r>
                <a:endParaRPr lang="ja-JP" altLang="en-US"/>
              </a:p>
            </c:rich>
          </c:tx>
          <c:overlay val="0"/>
        </c:title>
        <c:numFmt formatCode="General" sourceLinked="1"/>
        <c:majorTickMark val="out"/>
        <c:minorTickMark val="none"/>
        <c:tickLblPos val="nextTo"/>
        <c:crossAx val="-887805520"/>
        <c:crosses val="max"/>
        <c:crossBetween val="midCat"/>
        <c:majorUnit val="2.0"/>
      </c:valAx>
      <c:valAx>
        <c:axId val="-887805520"/>
        <c:scaling>
          <c:orientation val="minMax"/>
        </c:scaling>
        <c:delete val="1"/>
        <c:axPos val="b"/>
        <c:numFmt formatCode="General" sourceLinked="1"/>
        <c:majorTickMark val="out"/>
        <c:minorTickMark val="none"/>
        <c:tickLblPos val="none"/>
        <c:crossAx val="-983215920"/>
        <c:crosses val="autoZero"/>
        <c:crossBetween val="midCat"/>
      </c:valAx>
    </c:plotArea>
    <c:legend>
      <c:legendPos val="r"/>
      <c:layout>
        <c:manualLayout>
          <c:xMode val="edge"/>
          <c:yMode val="edge"/>
          <c:x val="0.149396568627451"/>
          <c:y val="0.0725278935185185"/>
          <c:w val="0.289361437908499"/>
          <c:h val="0.273376273148148"/>
        </c:manualLayout>
      </c:layout>
      <c:overlay val="0"/>
      <c:spPr>
        <a:solidFill>
          <a:sysClr val="window" lastClr="FFFFFF"/>
        </a:solidFill>
        <a:ln>
          <a:solidFill>
            <a:sysClr val="windowText" lastClr="000000"/>
          </a:solidFill>
        </a:ln>
      </c:spPr>
    </c:legend>
    <c:plotVisOnly val="1"/>
    <c:dispBlanksAs val="span"/>
    <c:showDLblsOverMax val="0"/>
  </c:chart>
  <c:printSettings>
    <c:headerFooter/>
    <c:pageMargins b="0.750000000000009" l="0.700000000000001" r="0.700000000000001" t="0.750000000000009"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入力!$V$8</c:f>
          <c:strCache>
            <c:ptCount val="1"/>
            <c:pt idx="0">
              <c:v>縦断的標準身長・成長速度曲線 児(0-6歳)</c:v>
            </c:pt>
          </c:strCache>
        </c:strRef>
      </c:tx>
      <c:layout>
        <c:manualLayout>
          <c:xMode val="edge"/>
          <c:yMode val="edge"/>
          <c:x val="0.150765522875817"/>
          <c:y val="0.0132291666666667"/>
        </c:manualLayout>
      </c:layout>
      <c:overlay val="0"/>
      <c:spPr>
        <a:noFill/>
        <a:ln>
          <a:noFill/>
        </a:ln>
      </c:spPr>
      <c:txPr>
        <a:bodyPr/>
        <a:lstStyle/>
        <a:p>
          <a:pPr>
            <a:defRPr sz="1600" baseline="0"/>
          </a:pPr>
          <a:endParaRPr lang="ja-JP"/>
        </a:p>
      </c:txPr>
    </c:title>
    <c:autoTitleDeleted val="0"/>
    <c:plotArea>
      <c:layout>
        <c:manualLayout>
          <c:layoutTarget val="inner"/>
          <c:xMode val="edge"/>
          <c:yMode val="edge"/>
          <c:x val="0.106841503267974"/>
          <c:y val="0.0707568287037037"/>
          <c:w val="0.783866503267973"/>
          <c:h val="0.830392939814815"/>
        </c:manualLayout>
      </c:layout>
      <c:scatterChart>
        <c:scatterStyle val="lineMarker"/>
        <c:varyColors val="0"/>
        <c:ser>
          <c:idx val="0"/>
          <c:order val="0"/>
          <c:tx>
            <c:strRef>
              <c:f>成長曲線_データ!$F$2</c:f>
              <c:strCache>
                <c:ptCount val="1"/>
                <c:pt idx="0">
                  <c:v>平均身長</c:v>
                </c:pt>
              </c:strCache>
            </c:strRef>
          </c:tx>
          <c:spPr>
            <a:ln w="381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成長曲線_データ!$F$4:$F$214</c:f>
              <c:numCache>
                <c:formatCode>General</c:formatCode>
                <c:ptCount val="211"/>
                <c:pt idx="0">
                  <c:v>48.4</c:v>
                </c:pt>
                <c:pt idx="1">
                  <c:v>52.6</c:v>
                </c:pt>
                <c:pt idx="2">
                  <c:v>56.7</c:v>
                </c:pt>
                <c:pt idx="3">
                  <c:v>60.0</c:v>
                </c:pt>
                <c:pt idx="4">
                  <c:v>62.6</c:v>
                </c:pt>
                <c:pt idx="5">
                  <c:v>64.6</c:v>
                </c:pt>
                <c:pt idx="6">
                  <c:v>66.2</c:v>
                </c:pt>
                <c:pt idx="7">
                  <c:v>67.5</c:v>
                </c:pt>
                <c:pt idx="8">
                  <c:v>68.9</c:v>
                </c:pt>
                <c:pt idx="9">
                  <c:v>70.0</c:v>
                </c:pt>
                <c:pt idx="10">
                  <c:v>71.2</c:v>
                </c:pt>
                <c:pt idx="11">
                  <c:v>72.3</c:v>
                </c:pt>
                <c:pt idx="12">
                  <c:v>73.4</c:v>
                </c:pt>
                <c:pt idx="13">
                  <c:v>74.5</c:v>
                </c:pt>
                <c:pt idx="14">
                  <c:v>75.5</c:v>
                </c:pt>
                <c:pt idx="15">
                  <c:v>76.5</c:v>
                </c:pt>
                <c:pt idx="16">
                  <c:v>77.5</c:v>
                </c:pt>
                <c:pt idx="17">
                  <c:v>78.4</c:v>
                </c:pt>
                <c:pt idx="18">
                  <c:v>79.4</c:v>
                </c:pt>
                <c:pt idx="19">
                  <c:v>80.3</c:v>
                </c:pt>
                <c:pt idx="20">
                  <c:v>81.2</c:v>
                </c:pt>
                <c:pt idx="21">
                  <c:v>82.0</c:v>
                </c:pt>
                <c:pt idx="22">
                  <c:v>82.8</c:v>
                </c:pt>
                <c:pt idx="23">
                  <c:v>83.5</c:v>
                </c:pt>
                <c:pt idx="24">
                  <c:v>84.3</c:v>
                </c:pt>
                <c:pt idx="25">
                  <c:v>85.0</c:v>
                </c:pt>
                <c:pt idx="26">
                  <c:v>85.7</c:v>
                </c:pt>
                <c:pt idx="27">
                  <c:v>86.4</c:v>
                </c:pt>
                <c:pt idx="28">
                  <c:v>87.1</c:v>
                </c:pt>
                <c:pt idx="29">
                  <c:v>87.7</c:v>
                </c:pt>
                <c:pt idx="30">
                  <c:v>88.4</c:v>
                </c:pt>
                <c:pt idx="31">
                  <c:v>89.0</c:v>
                </c:pt>
                <c:pt idx="32">
                  <c:v>89.6</c:v>
                </c:pt>
                <c:pt idx="33">
                  <c:v>90.3</c:v>
                </c:pt>
                <c:pt idx="34">
                  <c:v>90.9</c:v>
                </c:pt>
                <c:pt idx="35">
                  <c:v>91.6</c:v>
                </c:pt>
                <c:pt idx="36">
                  <c:v>92.2</c:v>
                </c:pt>
                <c:pt idx="37">
                  <c:v>92.8</c:v>
                </c:pt>
                <c:pt idx="38">
                  <c:v>93.5</c:v>
                </c:pt>
                <c:pt idx="39">
                  <c:v>94.1</c:v>
                </c:pt>
                <c:pt idx="40">
                  <c:v>94.7</c:v>
                </c:pt>
                <c:pt idx="41">
                  <c:v>95.3</c:v>
                </c:pt>
                <c:pt idx="42">
                  <c:v>95.9</c:v>
                </c:pt>
                <c:pt idx="43">
                  <c:v>96.5</c:v>
                </c:pt>
                <c:pt idx="44">
                  <c:v>97.1</c:v>
                </c:pt>
                <c:pt idx="45">
                  <c:v>97.7</c:v>
                </c:pt>
                <c:pt idx="46">
                  <c:v>98.3</c:v>
                </c:pt>
                <c:pt idx="47">
                  <c:v>98.9</c:v>
                </c:pt>
                <c:pt idx="48">
                  <c:v>99.5</c:v>
                </c:pt>
                <c:pt idx="49">
                  <c:v>100.0</c:v>
                </c:pt>
                <c:pt idx="50">
                  <c:v>100.6</c:v>
                </c:pt>
                <c:pt idx="51">
                  <c:v>101.2</c:v>
                </c:pt>
                <c:pt idx="52">
                  <c:v>101.7</c:v>
                </c:pt>
                <c:pt idx="53">
                  <c:v>102.3</c:v>
                </c:pt>
                <c:pt idx="54">
                  <c:v>102.8</c:v>
                </c:pt>
                <c:pt idx="55">
                  <c:v>103.4</c:v>
                </c:pt>
                <c:pt idx="56">
                  <c:v>103.9</c:v>
                </c:pt>
                <c:pt idx="57">
                  <c:v>104.5</c:v>
                </c:pt>
                <c:pt idx="58">
                  <c:v>105.0</c:v>
                </c:pt>
                <c:pt idx="59">
                  <c:v>105.6</c:v>
                </c:pt>
                <c:pt idx="60">
                  <c:v>106.2</c:v>
                </c:pt>
                <c:pt idx="61">
                  <c:v>106.7</c:v>
                </c:pt>
                <c:pt idx="62">
                  <c:v>107.3</c:v>
                </c:pt>
                <c:pt idx="63">
                  <c:v>107.8</c:v>
                </c:pt>
                <c:pt idx="64">
                  <c:v>108.4</c:v>
                </c:pt>
                <c:pt idx="65">
                  <c:v>108.9</c:v>
                </c:pt>
                <c:pt idx="66">
                  <c:v>109.5</c:v>
                </c:pt>
                <c:pt idx="67">
                  <c:v>110.0</c:v>
                </c:pt>
                <c:pt idx="68">
                  <c:v>110.6</c:v>
                </c:pt>
                <c:pt idx="69">
                  <c:v>111.1</c:v>
                </c:pt>
                <c:pt idx="70">
                  <c:v>111.6</c:v>
                </c:pt>
                <c:pt idx="71">
                  <c:v>112.2</c:v>
                </c:pt>
                <c:pt idx="72">
                  <c:v>112.7</c:v>
                </c:pt>
                <c:pt idx="73">
                  <c:v>113.3</c:v>
                </c:pt>
                <c:pt idx="74">
                  <c:v>113.8</c:v>
                </c:pt>
                <c:pt idx="75">
                  <c:v>114.1</c:v>
                </c:pt>
                <c:pt idx="76">
                  <c:v>114.6</c:v>
                </c:pt>
                <c:pt idx="77">
                  <c:v>115.2</c:v>
                </c:pt>
                <c:pt idx="78">
                  <c:v>115.8</c:v>
                </c:pt>
                <c:pt idx="79">
                  <c:v>116.3</c:v>
                </c:pt>
                <c:pt idx="80">
                  <c:v>116.8</c:v>
                </c:pt>
                <c:pt idx="81">
                  <c:v>117.3</c:v>
                </c:pt>
                <c:pt idx="82">
                  <c:v>117.8</c:v>
                </c:pt>
                <c:pt idx="83">
                  <c:v>118.3</c:v>
                </c:pt>
                <c:pt idx="84">
                  <c:v>118.8</c:v>
                </c:pt>
                <c:pt idx="85">
                  <c:v>119.2</c:v>
                </c:pt>
                <c:pt idx="86">
                  <c:v>119.7</c:v>
                </c:pt>
                <c:pt idx="87">
                  <c:v>120.2</c:v>
                </c:pt>
                <c:pt idx="88">
                  <c:v>120.7</c:v>
                </c:pt>
                <c:pt idx="89">
                  <c:v>121.2</c:v>
                </c:pt>
                <c:pt idx="90">
                  <c:v>121.7</c:v>
                </c:pt>
                <c:pt idx="91">
                  <c:v>122.2</c:v>
                </c:pt>
                <c:pt idx="92">
                  <c:v>122.7</c:v>
                </c:pt>
                <c:pt idx="93">
                  <c:v>123.2</c:v>
                </c:pt>
                <c:pt idx="94">
                  <c:v>123.6</c:v>
                </c:pt>
                <c:pt idx="95">
                  <c:v>124.1</c:v>
                </c:pt>
                <c:pt idx="96">
                  <c:v>124.6</c:v>
                </c:pt>
                <c:pt idx="97">
                  <c:v>125.1</c:v>
                </c:pt>
                <c:pt idx="98">
                  <c:v>125.6</c:v>
                </c:pt>
                <c:pt idx="99">
                  <c:v>126.1</c:v>
                </c:pt>
                <c:pt idx="100">
                  <c:v>126.5</c:v>
                </c:pt>
                <c:pt idx="101">
                  <c:v>127.0</c:v>
                </c:pt>
                <c:pt idx="102">
                  <c:v>127.5</c:v>
                </c:pt>
                <c:pt idx="103">
                  <c:v>128.0</c:v>
                </c:pt>
                <c:pt idx="104">
                  <c:v>128.5</c:v>
                </c:pt>
                <c:pt idx="105">
                  <c:v>129.0</c:v>
                </c:pt>
                <c:pt idx="106">
                  <c:v>129.5</c:v>
                </c:pt>
                <c:pt idx="107">
                  <c:v>130.0</c:v>
                </c:pt>
                <c:pt idx="108">
                  <c:v>130.5</c:v>
                </c:pt>
                <c:pt idx="109">
                  <c:v>131.0</c:v>
                </c:pt>
                <c:pt idx="110">
                  <c:v>131.5</c:v>
                </c:pt>
                <c:pt idx="111">
                  <c:v>132.0</c:v>
                </c:pt>
                <c:pt idx="112">
                  <c:v>132.5</c:v>
                </c:pt>
                <c:pt idx="113">
                  <c:v>133.0</c:v>
                </c:pt>
                <c:pt idx="114">
                  <c:v>133.5</c:v>
                </c:pt>
                <c:pt idx="115">
                  <c:v>134.1</c:v>
                </c:pt>
                <c:pt idx="116">
                  <c:v>134.6</c:v>
                </c:pt>
                <c:pt idx="117">
                  <c:v>135.2</c:v>
                </c:pt>
                <c:pt idx="118">
                  <c:v>135.8</c:v>
                </c:pt>
                <c:pt idx="119">
                  <c:v>136.3</c:v>
                </c:pt>
                <c:pt idx="120">
                  <c:v>136.9</c:v>
                </c:pt>
                <c:pt idx="121">
                  <c:v>137.5</c:v>
                </c:pt>
                <c:pt idx="122">
                  <c:v>138.0</c:v>
                </c:pt>
                <c:pt idx="123">
                  <c:v>138.6</c:v>
                </c:pt>
                <c:pt idx="124">
                  <c:v>139.2</c:v>
                </c:pt>
                <c:pt idx="125">
                  <c:v>139.7</c:v>
                </c:pt>
                <c:pt idx="126">
                  <c:v>140.3</c:v>
                </c:pt>
                <c:pt idx="127">
                  <c:v>140.9</c:v>
                </c:pt>
                <c:pt idx="128">
                  <c:v>141.4</c:v>
                </c:pt>
                <c:pt idx="129">
                  <c:v>142.0</c:v>
                </c:pt>
                <c:pt idx="130">
                  <c:v>142.6</c:v>
                </c:pt>
                <c:pt idx="131">
                  <c:v>143.1</c:v>
                </c:pt>
                <c:pt idx="132">
                  <c:v>143.7</c:v>
                </c:pt>
                <c:pt idx="133">
                  <c:v>144.3</c:v>
                </c:pt>
                <c:pt idx="134">
                  <c:v>144.8</c:v>
                </c:pt>
                <c:pt idx="135">
                  <c:v>145.4</c:v>
                </c:pt>
                <c:pt idx="136">
                  <c:v>146.0</c:v>
                </c:pt>
                <c:pt idx="137">
                  <c:v>146.5</c:v>
                </c:pt>
                <c:pt idx="138">
                  <c:v>147.1</c:v>
                </c:pt>
                <c:pt idx="139">
                  <c:v>147.5</c:v>
                </c:pt>
                <c:pt idx="140">
                  <c:v>147.9</c:v>
                </c:pt>
                <c:pt idx="141">
                  <c:v>148.4</c:v>
                </c:pt>
                <c:pt idx="142">
                  <c:v>148.8</c:v>
                </c:pt>
                <c:pt idx="143">
                  <c:v>149.2</c:v>
                </c:pt>
                <c:pt idx="144">
                  <c:v>149.6</c:v>
                </c:pt>
                <c:pt idx="145">
                  <c:v>150.0</c:v>
                </c:pt>
                <c:pt idx="146">
                  <c:v>150.4</c:v>
                </c:pt>
                <c:pt idx="147">
                  <c:v>150.9</c:v>
                </c:pt>
                <c:pt idx="148">
                  <c:v>151.3</c:v>
                </c:pt>
                <c:pt idx="149">
                  <c:v>151.7</c:v>
                </c:pt>
                <c:pt idx="150">
                  <c:v>152.1</c:v>
                </c:pt>
                <c:pt idx="151">
                  <c:v>152.4</c:v>
                </c:pt>
                <c:pt idx="152">
                  <c:v>152.6</c:v>
                </c:pt>
                <c:pt idx="153">
                  <c:v>152.9</c:v>
                </c:pt>
                <c:pt idx="154">
                  <c:v>153.1</c:v>
                </c:pt>
                <c:pt idx="155">
                  <c:v>153.4</c:v>
                </c:pt>
                <c:pt idx="156">
                  <c:v>153.6</c:v>
                </c:pt>
                <c:pt idx="157">
                  <c:v>153.9</c:v>
                </c:pt>
                <c:pt idx="158">
                  <c:v>154.1</c:v>
                </c:pt>
                <c:pt idx="159">
                  <c:v>154.4</c:v>
                </c:pt>
                <c:pt idx="160">
                  <c:v>154.6</c:v>
                </c:pt>
                <c:pt idx="161">
                  <c:v>154.9</c:v>
                </c:pt>
                <c:pt idx="162">
                  <c:v>155.1</c:v>
                </c:pt>
                <c:pt idx="163">
                  <c:v>155.2</c:v>
                </c:pt>
                <c:pt idx="164">
                  <c:v>155.4</c:v>
                </c:pt>
                <c:pt idx="165">
                  <c:v>155.5</c:v>
                </c:pt>
                <c:pt idx="166">
                  <c:v>155.7</c:v>
                </c:pt>
                <c:pt idx="167">
                  <c:v>155.8</c:v>
                </c:pt>
                <c:pt idx="168">
                  <c:v>156.0</c:v>
                </c:pt>
                <c:pt idx="169">
                  <c:v>156.1</c:v>
                </c:pt>
                <c:pt idx="170">
                  <c:v>156.2</c:v>
                </c:pt>
                <c:pt idx="171">
                  <c:v>156.4</c:v>
                </c:pt>
                <c:pt idx="172">
                  <c:v>156.5</c:v>
                </c:pt>
                <c:pt idx="173">
                  <c:v>156.7</c:v>
                </c:pt>
                <c:pt idx="174">
                  <c:v>156.8</c:v>
                </c:pt>
                <c:pt idx="175">
                  <c:v>156.8</c:v>
                </c:pt>
                <c:pt idx="176">
                  <c:v>156.9</c:v>
                </c:pt>
                <c:pt idx="177">
                  <c:v>156.9</c:v>
                </c:pt>
                <c:pt idx="178">
                  <c:v>157.0</c:v>
                </c:pt>
                <c:pt idx="179">
                  <c:v>157.0</c:v>
                </c:pt>
                <c:pt idx="180">
                  <c:v>157.1</c:v>
                </c:pt>
                <c:pt idx="181">
                  <c:v>157.1</c:v>
                </c:pt>
                <c:pt idx="182">
                  <c:v>157.1</c:v>
                </c:pt>
                <c:pt idx="183">
                  <c:v>157.2</c:v>
                </c:pt>
                <c:pt idx="184">
                  <c:v>157.2</c:v>
                </c:pt>
                <c:pt idx="185">
                  <c:v>157.3</c:v>
                </c:pt>
                <c:pt idx="186">
                  <c:v>157.3</c:v>
                </c:pt>
                <c:pt idx="187">
                  <c:v>157.3</c:v>
                </c:pt>
                <c:pt idx="188">
                  <c:v>157.4</c:v>
                </c:pt>
                <c:pt idx="189">
                  <c:v>157.4</c:v>
                </c:pt>
                <c:pt idx="190">
                  <c:v>157.4</c:v>
                </c:pt>
                <c:pt idx="191">
                  <c:v>157.5</c:v>
                </c:pt>
                <c:pt idx="192">
                  <c:v>157.5</c:v>
                </c:pt>
                <c:pt idx="193">
                  <c:v>157.5</c:v>
                </c:pt>
                <c:pt idx="194">
                  <c:v>157.6</c:v>
                </c:pt>
                <c:pt idx="195">
                  <c:v>157.6</c:v>
                </c:pt>
                <c:pt idx="196">
                  <c:v>157.6</c:v>
                </c:pt>
                <c:pt idx="197">
                  <c:v>157.7</c:v>
                </c:pt>
                <c:pt idx="198">
                  <c:v>157.7</c:v>
                </c:pt>
                <c:pt idx="199">
                  <c:v>157.7</c:v>
                </c:pt>
                <c:pt idx="200">
                  <c:v>157.8</c:v>
                </c:pt>
                <c:pt idx="201">
                  <c:v>157.8</c:v>
                </c:pt>
                <c:pt idx="202">
                  <c:v>157.8</c:v>
                </c:pt>
                <c:pt idx="203">
                  <c:v>157.9</c:v>
                </c:pt>
                <c:pt idx="204">
                  <c:v>157.9</c:v>
                </c:pt>
                <c:pt idx="205">
                  <c:v>157.9</c:v>
                </c:pt>
                <c:pt idx="206">
                  <c:v>158.0</c:v>
                </c:pt>
                <c:pt idx="207">
                  <c:v>158.0</c:v>
                </c:pt>
                <c:pt idx="208">
                  <c:v>158.0</c:v>
                </c:pt>
                <c:pt idx="209">
                  <c:v>158.1</c:v>
                </c:pt>
                <c:pt idx="210">
                  <c:v>158.1</c:v>
                </c:pt>
              </c:numCache>
            </c:numRef>
          </c:yVal>
          <c:smooth val="0"/>
        </c:ser>
        <c:ser>
          <c:idx val="1"/>
          <c:order val="1"/>
          <c:tx>
            <c:strRef>
              <c:f>成長曲線_データ!$H$2</c:f>
              <c:strCache>
                <c:ptCount val="1"/>
                <c:pt idx="0">
                  <c:v>+2SD</c:v>
                </c:pt>
              </c:strCache>
            </c:strRef>
          </c:tx>
          <c:spPr>
            <a:ln w="127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成長曲線_データ!$H$4:$H$214</c:f>
              <c:numCache>
                <c:formatCode>General</c:formatCode>
                <c:ptCount val="211"/>
                <c:pt idx="0">
                  <c:v>52.6</c:v>
                </c:pt>
                <c:pt idx="1">
                  <c:v>56.8</c:v>
                </c:pt>
                <c:pt idx="2">
                  <c:v>61.1</c:v>
                </c:pt>
                <c:pt idx="3">
                  <c:v>64.4</c:v>
                </c:pt>
                <c:pt idx="4">
                  <c:v>67.0</c:v>
                </c:pt>
                <c:pt idx="5">
                  <c:v>69.19999999999998</c:v>
                </c:pt>
                <c:pt idx="6">
                  <c:v>70.8</c:v>
                </c:pt>
                <c:pt idx="7">
                  <c:v>72.1</c:v>
                </c:pt>
                <c:pt idx="8">
                  <c:v>73.7</c:v>
                </c:pt>
                <c:pt idx="9">
                  <c:v>74.8</c:v>
                </c:pt>
                <c:pt idx="10">
                  <c:v>76.0</c:v>
                </c:pt>
                <c:pt idx="11">
                  <c:v>77.3</c:v>
                </c:pt>
                <c:pt idx="12">
                  <c:v>78.4</c:v>
                </c:pt>
                <c:pt idx="13">
                  <c:v>79.5</c:v>
                </c:pt>
                <c:pt idx="14">
                  <c:v>80.7</c:v>
                </c:pt>
                <c:pt idx="15">
                  <c:v>81.7</c:v>
                </c:pt>
                <c:pt idx="16">
                  <c:v>82.7</c:v>
                </c:pt>
                <c:pt idx="17">
                  <c:v>83.80000000000001</c:v>
                </c:pt>
                <c:pt idx="18">
                  <c:v>84.80000000000001</c:v>
                </c:pt>
                <c:pt idx="19">
                  <c:v>85.9</c:v>
                </c:pt>
                <c:pt idx="20">
                  <c:v>86.8</c:v>
                </c:pt>
                <c:pt idx="21">
                  <c:v>87.6</c:v>
                </c:pt>
                <c:pt idx="22">
                  <c:v>88.6</c:v>
                </c:pt>
                <c:pt idx="23">
                  <c:v>89.3</c:v>
                </c:pt>
                <c:pt idx="24">
                  <c:v>90.1</c:v>
                </c:pt>
                <c:pt idx="25">
                  <c:v>91.0</c:v>
                </c:pt>
                <c:pt idx="26">
                  <c:v>91.7</c:v>
                </c:pt>
                <c:pt idx="27">
                  <c:v>92.4</c:v>
                </c:pt>
                <c:pt idx="28">
                  <c:v>93.3</c:v>
                </c:pt>
                <c:pt idx="29">
                  <c:v>93.9</c:v>
                </c:pt>
                <c:pt idx="30">
                  <c:v>94.60000000000001</c:v>
                </c:pt>
                <c:pt idx="31">
                  <c:v>95.4</c:v>
                </c:pt>
                <c:pt idx="32">
                  <c:v>96.0</c:v>
                </c:pt>
                <c:pt idx="33">
                  <c:v>96.9</c:v>
                </c:pt>
                <c:pt idx="34">
                  <c:v>97.5</c:v>
                </c:pt>
                <c:pt idx="35">
                  <c:v>98.19999999999998</c:v>
                </c:pt>
                <c:pt idx="36">
                  <c:v>99.0</c:v>
                </c:pt>
                <c:pt idx="37">
                  <c:v>99.6</c:v>
                </c:pt>
                <c:pt idx="38">
                  <c:v>100.3</c:v>
                </c:pt>
                <c:pt idx="39">
                  <c:v>101.1</c:v>
                </c:pt>
                <c:pt idx="40">
                  <c:v>101.7</c:v>
                </c:pt>
                <c:pt idx="41">
                  <c:v>102.3</c:v>
                </c:pt>
                <c:pt idx="42">
                  <c:v>103.1</c:v>
                </c:pt>
                <c:pt idx="43">
                  <c:v>103.7</c:v>
                </c:pt>
                <c:pt idx="44">
                  <c:v>104.3</c:v>
                </c:pt>
                <c:pt idx="45">
                  <c:v>105.1</c:v>
                </c:pt>
                <c:pt idx="46">
                  <c:v>105.7</c:v>
                </c:pt>
                <c:pt idx="47">
                  <c:v>106.5</c:v>
                </c:pt>
                <c:pt idx="48">
                  <c:v>107.1</c:v>
                </c:pt>
                <c:pt idx="49">
                  <c:v>107.6</c:v>
                </c:pt>
                <c:pt idx="50">
                  <c:v>108.4</c:v>
                </c:pt>
                <c:pt idx="51">
                  <c:v>109.0</c:v>
                </c:pt>
                <c:pt idx="52">
                  <c:v>109.5</c:v>
                </c:pt>
                <c:pt idx="53">
                  <c:v>110.3</c:v>
                </c:pt>
                <c:pt idx="54">
                  <c:v>110.8</c:v>
                </c:pt>
                <c:pt idx="55">
                  <c:v>111.4</c:v>
                </c:pt>
                <c:pt idx="56">
                  <c:v>112.1</c:v>
                </c:pt>
                <c:pt idx="57">
                  <c:v>112.7</c:v>
                </c:pt>
                <c:pt idx="58">
                  <c:v>113.2</c:v>
                </c:pt>
                <c:pt idx="59">
                  <c:v>114.0</c:v>
                </c:pt>
                <c:pt idx="60">
                  <c:v>114.6</c:v>
                </c:pt>
                <c:pt idx="61">
                  <c:v>115.3</c:v>
                </c:pt>
                <c:pt idx="62">
                  <c:v>115.9</c:v>
                </c:pt>
                <c:pt idx="63">
                  <c:v>116.4</c:v>
                </c:pt>
                <c:pt idx="64">
                  <c:v>117.2</c:v>
                </c:pt>
                <c:pt idx="65">
                  <c:v>117.7</c:v>
                </c:pt>
                <c:pt idx="66">
                  <c:v>118.3</c:v>
                </c:pt>
                <c:pt idx="67">
                  <c:v>119.0</c:v>
                </c:pt>
                <c:pt idx="68">
                  <c:v>119.6</c:v>
                </c:pt>
                <c:pt idx="69">
                  <c:v>120.1</c:v>
                </c:pt>
                <c:pt idx="70">
                  <c:v>120.8</c:v>
                </c:pt>
                <c:pt idx="71">
                  <c:v>121.4</c:v>
                </c:pt>
                <c:pt idx="72">
                  <c:v>121.9</c:v>
                </c:pt>
                <c:pt idx="73">
                  <c:v>122.7</c:v>
                </c:pt>
                <c:pt idx="74">
                  <c:v>123.2</c:v>
                </c:pt>
                <c:pt idx="75">
                  <c:v>123.3</c:v>
                </c:pt>
                <c:pt idx="76">
                  <c:v>124.0</c:v>
                </c:pt>
                <c:pt idx="77">
                  <c:v>124.8</c:v>
                </c:pt>
                <c:pt idx="78">
                  <c:v>125.6</c:v>
                </c:pt>
                <c:pt idx="79">
                  <c:v>126.1</c:v>
                </c:pt>
                <c:pt idx="80">
                  <c:v>126.6</c:v>
                </c:pt>
                <c:pt idx="81">
                  <c:v>127.1</c:v>
                </c:pt>
                <c:pt idx="82">
                  <c:v>127.8</c:v>
                </c:pt>
                <c:pt idx="83">
                  <c:v>128.3</c:v>
                </c:pt>
                <c:pt idx="84">
                  <c:v>128.8</c:v>
                </c:pt>
                <c:pt idx="85">
                  <c:v>129.2</c:v>
                </c:pt>
                <c:pt idx="86">
                  <c:v>129.7</c:v>
                </c:pt>
                <c:pt idx="87">
                  <c:v>130.4</c:v>
                </c:pt>
                <c:pt idx="88">
                  <c:v>130.9</c:v>
                </c:pt>
                <c:pt idx="89">
                  <c:v>131.4</c:v>
                </c:pt>
                <c:pt idx="90">
                  <c:v>131.9</c:v>
                </c:pt>
                <c:pt idx="91">
                  <c:v>132.6</c:v>
                </c:pt>
                <c:pt idx="92">
                  <c:v>133.1</c:v>
                </c:pt>
                <c:pt idx="93">
                  <c:v>133.6</c:v>
                </c:pt>
                <c:pt idx="94">
                  <c:v>134.2</c:v>
                </c:pt>
                <c:pt idx="95">
                  <c:v>134.7</c:v>
                </c:pt>
                <c:pt idx="96">
                  <c:v>135.4</c:v>
                </c:pt>
                <c:pt idx="97">
                  <c:v>135.9</c:v>
                </c:pt>
                <c:pt idx="98">
                  <c:v>136.4</c:v>
                </c:pt>
                <c:pt idx="99">
                  <c:v>137.1</c:v>
                </c:pt>
                <c:pt idx="100">
                  <c:v>137.5</c:v>
                </c:pt>
                <c:pt idx="101">
                  <c:v>138.0</c:v>
                </c:pt>
                <c:pt idx="102">
                  <c:v>138.7</c:v>
                </c:pt>
                <c:pt idx="103">
                  <c:v>139.2</c:v>
                </c:pt>
                <c:pt idx="104">
                  <c:v>139.9</c:v>
                </c:pt>
                <c:pt idx="105">
                  <c:v>140.4</c:v>
                </c:pt>
                <c:pt idx="106">
                  <c:v>141.1</c:v>
                </c:pt>
                <c:pt idx="107">
                  <c:v>141.6</c:v>
                </c:pt>
                <c:pt idx="108">
                  <c:v>142.3</c:v>
                </c:pt>
                <c:pt idx="109">
                  <c:v>142.8</c:v>
                </c:pt>
                <c:pt idx="110">
                  <c:v>143.5</c:v>
                </c:pt>
                <c:pt idx="111">
                  <c:v>144.0</c:v>
                </c:pt>
                <c:pt idx="112">
                  <c:v>144.7</c:v>
                </c:pt>
                <c:pt idx="113">
                  <c:v>145.2</c:v>
                </c:pt>
                <c:pt idx="114">
                  <c:v>145.9</c:v>
                </c:pt>
                <c:pt idx="115">
                  <c:v>146.5</c:v>
                </c:pt>
                <c:pt idx="116">
                  <c:v>147.2</c:v>
                </c:pt>
                <c:pt idx="117">
                  <c:v>147.8</c:v>
                </c:pt>
                <c:pt idx="118">
                  <c:v>148.6</c:v>
                </c:pt>
                <c:pt idx="119">
                  <c:v>149.1</c:v>
                </c:pt>
                <c:pt idx="120">
                  <c:v>149.9</c:v>
                </c:pt>
                <c:pt idx="121">
                  <c:v>150.5</c:v>
                </c:pt>
                <c:pt idx="122">
                  <c:v>151.2</c:v>
                </c:pt>
                <c:pt idx="123">
                  <c:v>151.8</c:v>
                </c:pt>
                <c:pt idx="124">
                  <c:v>152.6</c:v>
                </c:pt>
                <c:pt idx="125">
                  <c:v>153.1</c:v>
                </c:pt>
                <c:pt idx="126">
                  <c:v>153.9</c:v>
                </c:pt>
                <c:pt idx="127">
                  <c:v>154.5</c:v>
                </c:pt>
                <c:pt idx="128">
                  <c:v>155.0</c:v>
                </c:pt>
                <c:pt idx="129">
                  <c:v>155.6</c:v>
                </c:pt>
                <c:pt idx="130">
                  <c:v>156.2</c:v>
                </c:pt>
                <c:pt idx="131">
                  <c:v>156.5</c:v>
                </c:pt>
                <c:pt idx="132">
                  <c:v>157.1</c:v>
                </c:pt>
                <c:pt idx="133">
                  <c:v>157.7</c:v>
                </c:pt>
                <c:pt idx="134">
                  <c:v>158.2</c:v>
                </c:pt>
                <c:pt idx="135">
                  <c:v>158.8</c:v>
                </c:pt>
                <c:pt idx="136">
                  <c:v>159.4</c:v>
                </c:pt>
                <c:pt idx="137">
                  <c:v>159.9</c:v>
                </c:pt>
                <c:pt idx="138">
                  <c:v>160.5</c:v>
                </c:pt>
                <c:pt idx="139">
                  <c:v>160.7</c:v>
                </c:pt>
                <c:pt idx="140">
                  <c:v>160.9</c:v>
                </c:pt>
                <c:pt idx="141">
                  <c:v>161.4</c:v>
                </c:pt>
                <c:pt idx="142">
                  <c:v>161.6</c:v>
                </c:pt>
                <c:pt idx="143">
                  <c:v>162.0</c:v>
                </c:pt>
                <c:pt idx="144">
                  <c:v>162.2</c:v>
                </c:pt>
                <c:pt idx="145">
                  <c:v>162.4</c:v>
                </c:pt>
                <c:pt idx="146">
                  <c:v>162.8</c:v>
                </c:pt>
                <c:pt idx="147">
                  <c:v>163.1</c:v>
                </c:pt>
                <c:pt idx="148">
                  <c:v>163.5</c:v>
                </c:pt>
                <c:pt idx="149">
                  <c:v>163.7</c:v>
                </c:pt>
                <c:pt idx="150">
                  <c:v>163.9</c:v>
                </c:pt>
                <c:pt idx="151">
                  <c:v>164.2</c:v>
                </c:pt>
                <c:pt idx="152">
                  <c:v>164.2</c:v>
                </c:pt>
                <c:pt idx="153">
                  <c:v>164.5</c:v>
                </c:pt>
                <c:pt idx="154">
                  <c:v>164.7</c:v>
                </c:pt>
                <c:pt idx="155">
                  <c:v>164.8</c:v>
                </c:pt>
                <c:pt idx="156">
                  <c:v>165.0</c:v>
                </c:pt>
                <c:pt idx="157">
                  <c:v>165.1</c:v>
                </c:pt>
                <c:pt idx="158">
                  <c:v>165.3</c:v>
                </c:pt>
                <c:pt idx="159">
                  <c:v>165.4</c:v>
                </c:pt>
                <c:pt idx="160">
                  <c:v>165.6</c:v>
                </c:pt>
                <c:pt idx="161">
                  <c:v>165.7</c:v>
                </c:pt>
                <c:pt idx="162">
                  <c:v>165.9</c:v>
                </c:pt>
                <c:pt idx="163">
                  <c:v>166.0</c:v>
                </c:pt>
                <c:pt idx="164">
                  <c:v>166.2</c:v>
                </c:pt>
                <c:pt idx="165">
                  <c:v>166.3</c:v>
                </c:pt>
                <c:pt idx="166">
                  <c:v>166.5</c:v>
                </c:pt>
                <c:pt idx="167">
                  <c:v>166.6</c:v>
                </c:pt>
                <c:pt idx="168">
                  <c:v>166.8</c:v>
                </c:pt>
                <c:pt idx="169">
                  <c:v>166.7</c:v>
                </c:pt>
                <c:pt idx="170">
                  <c:v>166.8</c:v>
                </c:pt>
                <c:pt idx="171">
                  <c:v>167.0</c:v>
                </c:pt>
                <c:pt idx="172">
                  <c:v>167.1</c:v>
                </c:pt>
                <c:pt idx="173">
                  <c:v>167.3</c:v>
                </c:pt>
                <c:pt idx="174">
                  <c:v>167.4</c:v>
                </c:pt>
                <c:pt idx="175">
                  <c:v>167.4</c:v>
                </c:pt>
                <c:pt idx="176">
                  <c:v>167.5</c:v>
                </c:pt>
                <c:pt idx="177">
                  <c:v>167.5</c:v>
                </c:pt>
                <c:pt idx="178">
                  <c:v>167.6</c:v>
                </c:pt>
                <c:pt idx="179">
                  <c:v>167.6</c:v>
                </c:pt>
                <c:pt idx="180">
                  <c:v>167.7</c:v>
                </c:pt>
                <c:pt idx="181">
                  <c:v>167.7</c:v>
                </c:pt>
                <c:pt idx="182">
                  <c:v>167.5</c:v>
                </c:pt>
                <c:pt idx="183">
                  <c:v>167.6</c:v>
                </c:pt>
                <c:pt idx="184">
                  <c:v>167.6</c:v>
                </c:pt>
                <c:pt idx="185">
                  <c:v>167.7</c:v>
                </c:pt>
                <c:pt idx="186">
                  <c:v>167.7</c:v>
                </c:pt>
                <c:pt idx="187">
                  <c:v>167.7</c:v>
                </c:pt>
                <c:pt idx="188">
                  <c:v>167.8</c:v>
                </c:pt>
                <c:pt idx="189">
                  <c:v>167.8</c:v>
                </c:pt>
                <c:pt idx="190">
                  <c:v>167.8</c:v>
                </c:pt>
                <c:pt idx="191">
                  <c:v>167.9</c:v>
                </c:pt>
                <c:pt idx="192">
                  <c:v>167.9</c:v>
                </c:pt>
                <c:pt idx="193">
                  <c:v>167.9</c:v>
                </c:pt>
                <c:pt idx="194">
                  <c:v>168.0</c:v>
                </c:pt>
                <c:pt idx="195">
                  <c:v>168.0</c:v>
                </c:pt>
                <c:pt idx="196">
                  <c:v>168.0</c:v>
                </c:pt>
                <c:pt idx="197">
                  <c:v>168.1</c:v>
                </c:pt>
                <c:pt idx="198">
                  <c:v>168.1</c:v>
                </c:pt>
                <c:pt idx="199">
                  <c:v>168.1</c:v>
                </c:pt>
                <c:pt idx="200">
                  <c:v>168.2</c:v>
                </c:pt>
                <c:pt idx="201">
                  <c:v>168.2</c:v>
                </c:pt>
                <c:pt idx="202">
                  <c:v>168.2</c:v>
                </c:pt>
                <c:pt idx="203">
                  <c:v>168.3</c:v>
                </c:pt>
                <c:pt idx="204">
                  <c:v>168.3</c:v>
                </c:pt>
                <c:pt idx="205">
                  <c:v>168.3</c:v>
                </c:pt>
                <c:pt idx="206">
                  <c:v>168.4</c:v>
                </c:pt>
                <c:pt idx="207">
                  <c:v>168.4</c:v>
                </c:pt>
                <c:pt idx="208">
                  <c:v>168.4</c:v>
                </c:pt>
                <c:pt idx="209">
                  <c:v>168.5</c:v>
                </c:pt>
                <c:pt idx="210">
                  <c:v>168.7</c:v>
                </c:pt>
              </c:numCache>
            </c:numRef>
          </c:yVal>
          <c:smooth val="0"/>
        </c:ser>
        <c:ser>
          <c:idx val="2"/>
          <c:order val="2"/>
          <c:tx>
            <c:strRef>
              <c:f>成長曲線_データ!$I$2</c:f>
              <c:strCache>
                <c:ptCount val="1"/>
                <c:pt idx="0">
                  <c:v>+1SD</c:v>
                </c:pt>
              </c:strCache>
            </c:strRef>
          </c:tx>
          <c:spPr>
            <a:ln w="12700">
              <a:solidFill>
                <a:sysClr val="windowText" lastClr="000000"/>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成長曲線_データ!$I$4:$I$214</c:f>
              <c:numCache>
                <c:formatCode>General</c:formatCode>
                <c:ptCount val="211"/>
                <c:pt idx="0">
                  <c:v>50.5</c:v>
                </c:pt>
                <c:pt idx="1">
                  <c:v>54.7</c:v>
                </c:pt>
                <c:pt idx="2">
                  <c:v>58.90000000000001</c:v>
                </c:pt>
                <c:pt idx="3">
                  <c:v>62.2</c:v>
                </c:pt>
                <c:pt idx="4">
                  <c:v>64.8</c:v>
                </c:pt>
                <c:pt idx="5">
                  <c:v>66.9</c:v>
                </c:pt>
                <c:pt idx="6">
                  <c:v>68.5</c:v>
                </c:pt>
                <c:pt idx="7">
                  <c:v>69.8</c:v>
                </c:pt>
                <c:pt idx="8">
                  <c:v>71.30000000000001</c:v>
                </c:pt>
                <c:pt idx="9">
                  <c:v>72.4</c:v>
                </c:pt>
                <c:pt idx="10">
                  <c:v>73.60000000000001</c:v>
                </c:pt>
                <c:pt idx="11">
                  <c:v>74.8</c:v>
                </c:pt>
                <c:pt idx="12">
                  <c:v>75.9</c:v>
                </c:pt>
                <c:pt idx="13">
                  <c:v>77.0</c:v>
                </c:pt>
                <c:pt idx="14">
                  <c:v>78.1</c:v>
                </c:pt>
                <c:pt idx="15">
                  <c:v>79.1</c:v>
                </c:pt>
                <c:pt idx="16">
                  <c:v>80.1</c:v>
                </c:pt>
                <c:pt idx="17">
                  <c:v>81.10000000000001</c:v>
                </c:pt>
                <c:pt idx="18">
                  <c:v>82.10000000000001</c:v>
                </c:pt>
                <c:pt idx="19">
                  <c:v>83.1</c:v>
                </c:pt>
                <c:pt idx="20">
                  <c:v>84.0</c:v>
                </c:pt>
                <c:pt idx="21">
                  <c:v>84.8</c:v>
                </c:pt>
                <c:pt idx="22">
                  <c:v>85.7</c:v>
                </c:pt>
                <c:pt idx="23">
                  <c:v>86.4</c:v>
                </c:pt>
                <c:pt idx="24">
                  <c:v>87.2</c:v>
                </c:pt>
                <c:pt idx="25">
                  <c:v>88.0</c:v>
                </c:pt>
                <c:pt idx="26">
                  <c:v>88.7</c:v>
                </c:pt>
                <c:pt idx="27">
                  <c:v>89.4</c:v>
                </c:pt>
                <c:pt idx="28">
                  <c:v>90.19999999999998</c:v>
                </c:pt>
                <c:pt idx="29">
                  <c:v>90.8</c:v>
                </c:pt>
                <c:pt idx="30">
                  <c:v>91.5</c:v>
                </c:pt>
                <c:pt idx="31">
                  <c:v>92.2</c:v>
                </c:pt>
                <c:pt idx="32">
                  <c:v>92.8</c:v>
                </c:pt>
                <c:pt idx="33">
                  <c:v>93.6</c:v>
                </c:pt>
                <c:pt idx="34">
                  <c:v>94.2</c:v>
                </c:pt>
                <c:pt idx="35">
                  <c:v>94.9</c:v>
                </c:pt>
                <c:pt idx="36">
                  <c:v>95.60000000000001</c:v>
                </c:pt>
                <c:pt idx="37">
                  <c:v>96.2</c:v>
                </c:pt>
                <c:pt idx="38">
                  <c:v>96.9</c:v>
                </c:pt>
                <c:pt idx="39">
                  <c:v>97.6</c:v>
                </c:pt>
                <c:pt idx="40">
                  <c:v>98.2</c:v>
                </c:pt>
                <c:pt idx="41">
                  <c:v>98.8</c:v>
                </c:pt>
                <c:pt idx="42">
                  <c:v>99.5</c:v>
                </c:pt>
                <c:pt idx="43">
                  <c:v>100.1</c:v>
                </c:pt>
                <c:pt idx="44">
                  <c:v>100.7</c:v>
                </c:pt>
                <c:pt idx="45">
                  <c:v>101.4</c:v>
                </c:pt>
                <c:pt idx="46">
                  <c:v>102.0</c:v>
                </c:pt>
                <c:pt idx="47">
                  <c:v>102.7</c:v>
                </c:pt>
                <c:pt idx="48">
                  <c:v>103.3</c:v>
                </c:pt>
                <c:pt idx="49">
                  <c:v>103.8</c:v>
                </c:pt>
                <c:pt idx="50">
                  <c:v>104.5</c:v>
                </c:pt>
                <c:pt idx="51">
                  <c:v>105.1</c:v>
                </c:pt>
                <c:pt idx="52">
                  <c:v>105.6</c:v>
                </c:pt>
                <c:pt idx="53">
                  <c:v>106.3</c:v>
                </c:pt>
                <c:pt idx="54">
                  <c:v>106.8</c:v>
                </c:pt>
                <c:pt idx="55">
                  <c:v>107.4</c:v>
                </c:pt>
                <c:pt idx="56">
                  <c:v>108.0</c:v>
                </c:pt>
                <c:pt idx="57">
                  <c:v>108.6</c:v>
                </c:pt>
                <c:pt idx="58">
                  <c:v>109.1</c:v>
                </c:pt>
                <c:pt idx="59">
                  <c:v>109.8</c:v>
                </c:pt>
                <c:pt idx="60">
                  <c:v>110.4</c:v>
                </c:pt>
                <c:pt idx="61">
                  <c:v>111.0</c:v>
                </c:pt>
                <c:pt idx="62">
                  <c:v>111.6</c:v>
                </c:pt>
                <c:pt idx="63">
                  <c:v>112.1</c:v>
                </c:pt>
                <c:pt idx="64">
                  <c:v>112.8</c:v>
                </c:pt>
                <c:pt idx="65">
                  <c:v>113.3</c:v>
                </c:pt>
                <c:pt idx="66">
                  <c:v>113.9</c:v>
                </c:pt>
                <c:pt idx="67">
                  <c:v>114.5</c:v>
                </c:pt>
                <c:pt idx="68">
                  <c:v>115.1</c:v>
                </c:pt>
                <c:pt idx="69">
                  <c:v>115.6</c:v>
                </c:pt>
                <c:pt idx="70">
                  <c:v>116.2</c:v>
                </c:pt>
                <c:pt idx="71">
                  <c:v>116.8</c:v>
                </c:pt>
                <c:pt idx="72">
                  <c:v>117.3</c:v>
                </c:pt>
                <c:pt idx="73">
                  <c:v>118.0</c:v>
                </c:pt>
                <c:pt idx="74">
                  <c:v>118.5</c:v>
                </c:pt>
                <c:pt idx="75">
                  <c:v>118.7</c:v>
                </c:pt>
                <c:pt idx="76">
                  <c:v>119.3</c:v>
                </c:pt>
                <c:pt idx="77">
                  <c:v>120.0</c:v>
                </c:pt>
                <c:pt idx="78">
                  <c:v>120.7</c:v>
                </c:pt>
                <c:pt idx="79">
                  <c:v>121.2</c:v>
                </c:pt>
                <c:pt idx="80">
                  <c:v>121.7</c:v>
                </c:pt>
                <c:pt idx="81">
                  <c:v>122.2</c:v>
                </c:pt>
                <c:pt idx="82">
                  <c:v>122.8</c:v>
                </c:pt>
                <c:pt idx="83">
                  <c:v>123.3</c:v>
                </c:pt>
                <c:pt idx="84">
                  <c:v>123.8</c:v>
                </c:pt>
                <c:pt idx="85">
                  <c:v>124.2</c:v>
                </c:pt>
                <c:pt idx="86">
                  <c:v>124.7</c:v>
                </c:pt>
                <c:pt idx="87">
                  <c:v>125.3</c:v>
                </c:pt>
                <c:pt idx="88">
                  <c:v>125.8</c:v>
                </c:pt>
                <c:pt idx="89">
                  <c:v>126.3</c:v>
                </c:pt>
                <c:pt idx="90">
                  <c:v>126.8</c:v>
                </c:pt>
                <c:pt idx="91">
                  <c:v>127.4</c:v>
                </c:pt>
                <c:pt idx="92">
                  <c:v>127.9</c:v>
                </c:pt>
                <c:pt idx="93">
                  <c:v>128.4</c:v>
                </c:pt>
                <c:pt idx="94">
                  <c:v>128.9</c:v>
                </c:pt>
                <c:pt idx="95">
                  <c:v>129.4</c:v>
                </c:pt>
                <c:pt idx="96">
                  <c:v>130.0</c:v>
                </c:pt>
                <c:pt idx="97">
                  <c:v>130.5</c:v>
                </c:pt>
                <c:pt idx="98">
                  <c:v>131.0</c:v>
                </c:pt>
                <c:pt idx="99">
                  <c:v>131.6</c:v>
                </c:pt>
                <c:pt idx="100">
                  <c:v>132.0</c:v>
                </c:pt>
                <c:pt idx="101">
                  <c:v>132.5</c:v>
                </c:pt>
                <c:pt idx="102">
                  <c:v>133.1</c:v>
                </c:pt>
                <c:pt idx="103">
                  <c:v>133.6</c:v>
                </c:pt>
                <c:pt idx="104">
                  <c:v>134.2</c:v>
                </c:pt>
                <c:pt idx="105">
                  <c:v>134.7</c:v>
                </c:pt>
                <c:pt idx="106">
                  <c:v>135.3</c:v>
                </c:pt>
                <c:pt idx="107">
                  <c:v>135.8</c:v>
                </c:pt>
                <c:pt idx="108">
                  <c:v>136.4</c:v>
                </c:pt>
                <c:pt idx="109">
                  <c:v>136.9</c:v>
                </c:pt>
                <c:pt idx="110">
                  <c:v>137.5</c:v>
                </c:pt>
                <c:pt idx="111">
                  <c:v>138.0</c:v>
                </c:pt>
                <c:pt idx="112">
                  <c:v>138.6</c:v>
                </c:pt>
                <c:pt idx="113">
                  <c:v>139.1</c:v>
                </c:pt>
                <c:pt idx="114">
                  <c:v>139.7</c:v>
                </c:pt>
                <c:pt idx="115">
                  <c:v>140.3</c:v>
                </c:pt>
                <c:pt idx="116">
                  <c:v>140.9</c:v>
                </c:pt>
                <c:pt idx="117">
                  <c:v>141.5</c:v>
                </c:pt>
                <c:pt idx="118">
                  <c:v>142.2</c:v>
                </c:pt>
                <c:pt idx="119">
                  <c:v>142.7</c:v>
                </c:pt>
                <c:pt idx="120">
                  <c:v>143.4</c:v>
                </c:pt>
                <c:pt idx="121">
                  <c:v>144.0</c:v>
                </c:pt>
                <c:pt idx="122">
                  <c:v>144.6</c:v>
                </c:pt>
                <c:pt idx="123">
                  <c:v>145.2</c:v>
                </c:pt>
                <c:pt idx="124">
                  <c:v>145.9</c:v>
                </c:pt>
                <c:pt idx="125">
                  <c:v>146.4</c:v>
                </c:pt>
                <c:pt idx="126">
                  <c:v>147.1</c:v>
                </c:pt>
                <c:pt idx="127">
                  <c:v>147.7</c:v>
                </c:pt>
                <c:pt idx="128">
                  <c:v>148.2</c:v>
                </c:pt>
                <c:pt idx="129">
                  <c:v>148.8</c:v>
                </c:pt>
                <c:pt idx="130">
                  <c:v>149.4</c:v>
                </c:pt>
                <c:pt idx="131">
                  <c:v>149.8</c:v>
                </c:pt>
                <c:pt idx="132">
                  <c:v>150.4</c:v>
                </c:pt>
                <c:pt idx="133">
                  <c:v>151.0</c:v>
                </c:pt>
                <c:pt idx="134">
                  <c:v>151.5</c:v>
                </c:pt>
                <c:pt idx="135">
                  <c:v>152.1</c:v>
                </c:pt>
                <c:pt idx="136">
                  <c:v>152.7</c:v>
                </c:pt>
                <c:pt idx="137">
                  <c:v>153.2</c:v>
                </c:pt>
                <c:pt idx="138">
                  <c:v>153.8</c:v>
                </c:pt>
                <c:pt idx="139">
                  <c:v>154.1</c:v>
                </c:pt>
                <c:pt idx="140">
                  <c:v>154.4</c:v>
                </c:pt>
                <c:pt idx="141">
                  <c:v>154.9</c:v>
                </c:pt>
                <c:pt idx="142">
                  <c:v>155.2</c:v>
                </c:pt>
                <c:pt idx="143">
                  <c:v>155.6</c:v>
                </c:pt>
                <c:pt idx="144">
                  <c:v>155.9</c:v>
                </c:pt>
                <c:pt idx="145">
                  <c:v>156.2</c:v>
                </c:pt>
                <c:pt idx="146">
                  <c:v>156.6</c:v>
                </c:pt>
                <c:pt idx="147">
                  <c:v>157.0</c:v>
                </c:pt>
                <c:pt idx="148">
                  <c:v>157.4</c:v>
                </c:pt>
                <c:pt idx="149">
                  <c:v>157.7</c:v>
                </c:pt>
                <c:pt idx="150">
                  <c:v>158.0</c:v>
                </c:pt>
                <c:pt idx="151">
                  <c:v>158.3</c:v>
                </c:pt>
                <c:pt idx="152">
                  <c:v>158.4</c:v>
                </c:pt>
                <c:pt idx="153">
                  <c:v>158.7</c:v>
                </c:pt>
                <c:pt idx="154">
                  <c:v>158.9</c:v>
                </c:pt>
                <c:pt idx="155">
                  <c:v>159.1</c:v>
                </c:pt>
                <c:pt idx="156">
                  <c:v>159.3</c:v>
                </c:pt>
                <c:pt idx="157">
                  <c:v>159.5</c:v>
                </c:pt>
                <c:pt idx="158">
                  <c:v>159.7</c:v>
                </c:pt>
                <c:pt idx="159">
                  <c:v>159.9</c:v>
                </c:pt>
                <c:pt idx="160">
                  <c:v>160.1</c:v>
                </c:pt>
                <c:pt idx="161">
                  <c:v>160.3</c:v>
                </c:pt>
                <c:pt idx="162">
                  <c:v>160.5</c:v>
                </c:pt>
                <c:pt idx="163">
                  <c:v>160.6</c:v>
                </c:pt>
                <c:pt idx="164">
                  <c:v>160.8</c:v>
                </c:pt>
                <c:pt idx="165">
                  <c:v>160.9</c:v>
                </c:pt>
                <c:pt idx="166">
                  <c:v>161.1</c:v>
                </c:pt>
                <c:pt idx="167">
                  <c:v>161.2</c:v>
                </c:pt>
                <c:pt idx="168">
                  <c:v>161.4</c:v>
                </c:pt>
                <c:pt idx="169">
                  <c:v>161.4</c:v>
                </c:pt>
                <c:pt idx="170">
                  <c:v>161.5</c:v>
                </c:pt>
                <c:pt idx="171">
                  <c:v>161.7</c:v>
                </c:pt>
                <c:pt idx="172">
                  <c:v>161.8</c:v>
                </c:pt>
                <c:pt idx="173">
                  <c:v>162.0</c:v>
                </c:pt>
                <c:pt idx="174">
                  <c:v>162.1</c:v>
                </c:pt>
                <c:pt idx="175">
                  <c:v>162.1</c:v>
                </c:pt>
                <c:pt idx="176">
                  <c:v>162.2</c:v>
                </c:pt>
                <c:pt idx="177">
                  <c:v>162.2</c:v>
                </c:pt>
                <c:pt idx="178">
                  <c:v>162.3</c:v>
                </c:pt>
                <c:pt idx="179">
                  <c:v>162.3</c:v>
                </c:pt>
                <c:pt idx="180">
                  <c:v>162.4</c:v>
                </c:pt>
                <c:pt idx="181">
                  <c:v>162.4</c:v>
                </c:pt>
                <c:pt idx="182">
                  <c:v>162.3</c:v>
                </c:pt>
                <c:pt idx="183">
                  <c:v>162.4</c:v>
                </c:pt>
                <c:pt idx="184">
                  <c:v>162.4</c:v>
                </c:pt>
                <c:pt idx="185">
                  <c:v>162.5</c:v>
                </c:pt>
                <c:pt idx="186">
                  <c:v>162.5</c:v>
                </c:pt>
                <c:pt idx="187">
                  <c:v>162.5</c:v>
                </c:pt>
                <c:pt idx="188">
                  <c:v>162.6</c:v>
                </c:pt>
                <c:pt idx="189">
                  <c:v>162.6</c:v>
                </c:pt>
                <c:pt idx="190">
                  <c:v>162.6</c:v>
                </c:pt>
                <c:pt idx="191">
                  <c:v>162.7</c:v>
                </c:pt>
                <c:pt idx="192">
                  <c:v>162.7</c:v>
                </c:pt>
                <c:pt idx="193">
                  <c:v>162.7</c:v>
                </c:pt>
                <c:pt idx="194">
                  <c:v>162.8</c:v>
                </c:pt>
                <c:pt idx="195">
                  <c:v>162.8</c:v>
                </c:pt>
                <c:pt idx="196">
                  <c:v>162.8</c:v>
                </c:pt>
                <c:pt idx="197">
                  <c:v>162.9</c:v>
                </c:pt>
                <c:pt idx="198">
                  <c:v>162.9</c:v>
                </c:pt>
                <c:pt idx="199">
                  <c:v>162.9</c:v>
                </c:pt>
                <c:pt idx="200">
                  <c:v>163.0</c:v>
                </c:pt>
                <c:pt idx="201">
                  <c:v>163.0</c:v>
                </c:pt>
                <c:pt idx="202">
                  <c:v>163.0</c:v>
                </c:pt>
                <c:pt idx="203">
                  <c:v>163.1</c:v>
                </c:pt>
                <c:pt idx="204">
                  <c:v>163.1</c:v>
                </c:pt>
                <c:pt idx="205">
                  <c:v>163.1</c:v>
                </c:pt>
                <c:pt idx="206">
                  <c:v>163.2</c:v>
                </c:pt>
                <c:pt idx="207">
                  <c:v>163.2</c:v>
                </c:pt>
                <c:pt idx="208">
                  <c:v>163.2</c:v>
                </c:pt>
                <c:pt idx="209">
                  <c:v>163.3</c:v>
                </c:pt>
                <c:pt idx="210">
                  <c:v>163.4</c:v>
                </c:pt>
              </c:numCache>
            </c:numRef>
          </c:yVal>
          <c:smooth val="0"/>
        </c:ser>
        <c:ser>
          <c:idx val="3"/>
          <c:order val="3"/>
          <c:tx>
            <c:strRef>
              <c:f>成長曲線_データ!$J$2</c:f>
              <c:strCache>
                <c:ptCount val="1"/>
                <c:pt idx="0">
                  <c:v>-1SD</c:v>
                </c:pt>
              </c:strCache>
            </c:strRef>
          </c:tx>
          <c:spPr>
            <a:ln w="12700">
              <a:solidFill>
                <a:sysClr val="windowText" lastClr="000000"/>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成長曲線_データ!$J$4:$J$214</c:f>
              <c:numCache>
                <c:formatCode>General</c:formatCode>
                <c:ptCount val="211"/>
                <c:pt idx="0">
                  <c:v>46.3</c:v>
                </c:pt>
                <c:pt idx="1">
                  <c:v>50.5</c:v>
                </c:pt>
                <c:pt idx="2">
                  <c:v>54.5</c:v>
                </c:pt>
                <c:pt idx="3">
                  <c:v>57.8</c:v>
                </c:pt>
                <c:pt idx="4">
                  <c:v>60.4</c:v>
                </c:pt>
                <c:pt idx="5">
                  <c:v>62.3</c:v>
                </c:pt>
                <c:pt idx="6">
                  <c:v>63.90000000000001</c:v>
                </c:pt>
                <c:pt idx="7">
                  <c:v>65.2</c:v>
                </c:pt>
                <c:pt idx="8">
                  <c:v>66.5</c:v>
                </c:pt>
                <c:pt idx="9">
                  <c:v>67.6</c:v>
                </c:pt>
                <c:pt idx="10">
                  <c:v>68.8</c:v>
                </c:pt>
                <c:pt idx="11">
                  <c:v>69.8</c:v>
                </c:pt>
                <c:pt idx="12">
                  <c:v>70.9</c:v>
                </c:pt>
                <c:pt idx="13">
                  <c:v>72.0</c:v>
                </c:pt>
                <c:pt idx="14">
                  <c:v>72.9</c:v>
                </c:pt>
                <c:pt idx="15">
                  <c:v>73.9</c:v>
                </c:pt>
                <c:pt idx="16">
                  <c:v>74.9</c:v>
                </c:pt>
                <c:pt idx="17">
                  <c:v>75.7</c:v>
                </c:pt>
                <c:pt idx="18">
                  <c:v>76.7</c:v>
                </c:pt>
                <c:pt idx="19">
                  <c:v>77.5</c:v>
                </c:pt>
                <c:pt idx="20">
                  <c:v>78.4</c:v>
                </c:pt>
                <c:pt idx="21">
                  <c:v>79.2</c:v>
                </c:pt>
                <c:pt idx="22">
                  <c:v>79.9</c:v>
                </c:pt>
                <c:pt idx="23">
                  <c:v>80.6</c:v>
                </c:pt>
                <c:pt idx="24">
                  <c:v>81.4</c:v>
                </c:pt>
                <c:pt idx="25">
                  <c:v>82.0</c:v>
                </c:pt>
                <c:pt idx="26">
                  <c:v>82.7</c:v>
                </c:pt>
                <c:pt idx="27">
                  <c:v>83.4</c:v>
                </c:pt>
                <c:pt idx="28">
                  <c:v>84.0</c:v>
                </c:pt>
                <c:pt idx="29">
                  <c:v>84.60000000000001</c:v>
                </c:pt>
                <c:pt idx="30">
                  <c:v>85.30000000000001</c:v>
                </c:pt>
                <c:pt idx="31">
                  <c:v>85.8</c:v>
                </c:pt>
                <c:pt idx="32">
                  <c:v>86.4</c:v>
                </c:pt>
                <c:pt idx="33">
                  <c:v>87.0</c:v>
                </c:pt>
                <c:pt idx="34">
                  <c:v>87.60000000000001</c:v>
                </c:pt>
                <c:pt idx="35">
                  <c:v>88.3</c:v>
                </c:pt>
                <c:pt idx="36">
                  <c:v>88.8</c:v>
                </c:pt>
                <c:pt idx="37">
                  <c:v>89.4</c:v>
                </c:pt>
                <c:pt idx="38">
                  <c:v>90.1</c:v>
                </c:pt>
                <c:pt idx="39">
                  <c:v>90.6</c:v>
                </c:pt>
                <c:pt idx="40">
                  <c:v>91.2</c:v>
                </c:pt>
                <c:pt idx="41">
                  <c:v>91.8</c:v>
                </c:pt>
                <c:pt idx="42">
                  <c:v>92.30000000000001</c:v>
                </c:pt>
                <c:pt idx="43">
                  <c:v>92.9</c:v>
                </c:pt>
                <c:pt idx="44">
                  <c:v>93.5</c:v>
                </c:pt>
                <c:pt idx="45">
                  <c:v>94.0</c:v>
                </c:pt>
                <c:pt idx="46">
                  <c:v>94.6</c:v>
                </c:pt>
                <c:pt idx="47">
                  <c:v>95.10000000000001</c:v>
                </c:pt>
                <c:pt idx="48">
                  <c:v>95.7</c:v>
                </c:pt>
                <c:pt idx="49">
                  <c:v>96.2</c:v>
                </c:pt>
                <c:pt idx="50">
                  <c:v>96.69999999999998</c:v>
                </c:pt>
                <c:pt idx="51">
                  <c:v>97.3</c:v>
                </c:pt>
                <c:pt idx="52">
                  <c:v>97.8</c:v>
                </c:pt>
                <c:pt idx="53">
                  <c:v>98.3</c:v>
                </c:pt>
                <c:pt idx="54">
                  <c:v>98.8</c:v>
                </c:pt>
                <c:pt idx="55">
                  <c:v>99.4</c:v>
                </c:pt>
                <c:pt idx="56">
                  <c:v>99.80000000000001</c:v>
                </c:pt>
                <c:pt idx="57">
                  <c:v>100.4</c:v>
                </c:pt>
                <c:pt idx="58">
                  <c:v>100.9</c:v>
                </c:pt>
                <c:pt idx="59">
                  <c:v>101.4</c:v>
                </c:pt>
                <c:pt idx="60">
                  <c:v>102.0</c:v>
                </c:pt>
                <c:pt idx="61">
                  <c:v>102.4</c:v>
                </c:pt>
                <c:pt idx="62">
                  <c:v>103.0</c:v>
                </c:pt>
                <c:pt idx="63">
                  <c:v>103.5</c:v>
                </c:pt>
                <c:pt idx="64">
                  <c:v>104.0</c:v>
                </c:pt>
                <c:pt idx="65">
                  <c:v>104.5</c:v>
                </c:pt>
                <c:pt idx="66">
                  <c:v>105.1</c:v>
                </c:pt>
                <c:pt idx="67">
                  <c:v>105.5</c:v>
                </c:pt>
                <c:pt idx="68">
                  <c:v>106.1</c:v>
                </c:pt>
                <c:pt idx="69">
                  <c:v>106.6</c:v>
                </c:pt>
                <c:pt idx="70">
                  <c:v>107.0</c:v>
                </c:pt>
                <c:pt idx="71">
                  <c:v>107.6</c:v>
                </c:pt>
                <c:pt idx="72">
                  <c:v>108.1</c:v>
                </c:pt>
                <c:pt idx="73">
                  <c:v>108.6</c:v>
                </c:pt>
                <c:pt idx="74">
                  <c:v>109.1</c:v>
                </c:pt>
                <c:pt idx="75">
                  <c:v>109.5</c:v>
                </c:pt>
                <c:pt idx="76">
                  <c:v>109.9</c:v>
                </c:pt>
                <c:pt idx="77">
                  <c:v>110.4</c:v>
                </c:pt>
                <c:pt idx="78">
                  <c:v>110.9</c:v>
                </c:pt>
                <c:pt idx="79">
                  <c:v>111.4</c:v>
                </c:pt>
                <c:pt idx="80">
                  <c:v>111.9</c:v>
                </c:pt>
                <c:pt idx="81">
                  <c:v>112.4</c:v>
                </c:pt>
                <c:pt idx="82">
                  <c:v>112.8</c:v>
                </c:pt>
                <c:pt idx="83">
                  <c:v>113.3</c:v>
                </c:pt>
                <c:pt idx="84">
                  <c:v>113.8</c:v>
                </c:pt>
                <c:pt idx="85">
                  <c:v>114.2</c:v>
                </c:pt>
                <c:pt idx="86">
                  <c:v>114.7</c:v>
                </c:pt>
                <c:pt idx="87">
                  <c:v>115.1</c:v>
                </c:pt>
                <c:pt idx="88">
                  <c:v>115.6</c:v>
                </c:pt>
                <c:pt idx="89">
                  <c:v>116.1</c:v>
                </c:pt>
                <c:pt idx="90">
                  <c:v>116.6</c:v>
                </c:pt>
                <c:pt idx="91">
                  <c:v>117.0</c:v>
                </c:pt>
                <c:pt idx="92">
                  <c:v>117.5</c:v>
                </c:pt>
                <c:pt idx="93">
                  <c:v>118.0</c:v>
                </c:pt>
                <c:pt idx="94">
                  <c:v>118.3</c:v>
                </c:pt>
                <c:pt idx="95">
                  <c:v>118.8</c:v>
                </c:pt>
                <c:pt idx="96">
                  <c:v>119.2</c:v>
                </c:pt>
                <c:pt idx="97">
                  <c:v>119.7</c:v>
                </c:pt>
                <c:pt idx="98">
                  <c:v>120.2</c:v>
                </c:pt>
                <c:pt idx="99">
                  <c:v>120.6</c:v>
                </c:pt>
                <c:pt idx="100">
                  <c:v>121.0</c:v>
                </c:pt>
                <c:pt idx="101">
                  <c:v>121.5</c:v>
                </c:pt>
                <c:pt idx="102">
                  <c:v>121.9</c:v>
                </c:pt>
                <c:pt idx="103">
                  <c:v>122.4</c:v>
                </c:pt>
                <c:pt idx="104">
                  <c:v>122.8</c:v>
                </c:pt>
                <c:pt idx="105">
                  <c:v>123.3</c:v>
                </c:pt>
                <c:pt idx="106">
                  <c:v>123.7</c:v>
                </c:pt>
                <c:pt idx="107">
                  <c:v>124.2</c:v>
                </c:pt>
                <c:pt idx="108">
                  <c:v>124.6</c:v>
                </c:pt>
                <c:pt idx="109">
                  <c:v>125.1</c:v>
                </c:pt>
                <c:pt idx="110">
                  <c:v>125.5</c:v>
                </c:pt>
                <c:pt idx="111">
                  <c:v>126.0</c:v>
                </c:pt>
                <c:pt idx="112">
                  <c:v>126.4</c:v>
                </c:pt>
                <c:pt idx="113">
                  <c:v>126.9</c:v>
                </c:pt>
                <c:pt idx="114">
                  <c:v>127.3</c:v>
                </c:pt>
                <c:pt idx="115">
                  <c:v>127.9</c:v>
                </c:pt>
                <c:pt idx="116">
                  <c:v>128.3</c:v>
                </c:pt>
                <c:pt idx="117">
                  <c:v>128.9</c:v>
                </c:pt>
                <c:pt idx="118">
                  <c:v>129.4</c:v>
                </c:pt>
                <c:pt idx="119">
                  <c:v>129.9</c:v>
                </c:pt>
                <c:pt idx="120">
                  <c:v>130.4</c:v>
                </c:pt>
                <c:pt idx="121">
                  <c:v>131.0</c:v>
                </c:pt>
                <c:pt idx="122">
                  <c:v>131.4</c:v>
                </c:pt>
                <c:pt idx="123">
                  <c:v>132.0</c:v>
                </c:pt>
                <c:pt idx="124">
                  <c:v>132.5</c:v>
                </c:pt>
                <c:pt idx="125">
                  <c:v>133.0</c:v>
                </c:pt>
                <c:pt idx="126">
                  <c:v>133.5</c:v>
                </c:pt>
                <c:pt idx="127">
                  <c:v>134.1</c:v>
                </c:pt>
                <c:pt idx="128">
                  <c:v>134.6</c:v>
                </c:pt>
                <c:pt idx="129">
                  <c:v>135.2</c:v>
                </c:pt>
                <c:pt idx="130">
                  <c:v>135.8</c:v>
                </c:pt>
                <c:pt idx="131">
                  <c:v>136.4</c:v>
                </c:pt>
                <c:pt idx="132">
                  <c:v>137.0</c:v>
                </c:pt>
                <c:pt idx="133">
                  <c:v>137.6</c:v>
                </c:pt>
                <c:pt idx="134">
                  <c:v>138.1</c:v>
                </c:pt>
                <c:pt idx="135">
                  <c:v>138.7</c:v>
                </c:pt>
                <c:pt idx="136">
                  <c:v>139.3</c:v>
                </c:pt>
                <c:pt idx="137">
                  <c:v>139.8</c:v>
                </c:pt>
                <c:pt idx="138">
                  <c:v>140.4</c:v>
                </c:pt>
                <c:pt idx="139">
                  <c:v>140.9</c:v>
                </c:pt>
                <c:pt idx="140">
                  <c:v>141.4</c:v>
                </c:pt>
                <c:pt idx="141">
                  <c:v>141.9</c:v>
                </c:pt>
                <c:pt idx="142">
                  <c:v>142.4</c:v>
                </c:pt>
                <c:pt idx="143">
                  <c:v>142.8</c:v>
                </c:pt>
                <c:pt idx="144">
                  <c:v>143.3</c:v>
                </c:pt>
                <c:pt idx="145">
                  <c:v>143.8</c:v>
                </c:pt>
                <c:pt idx="146">
                  <c:v>144.2</c:v>
                </c:pt>
                <c:pt idx="147">
                  <c:v>144.8</c:v>
                </c:pt>
                <c:pt idx="148">
                  <c:v>145.2</c:v>
                </c:pt>
                <c:pt idx="149">
                  <c:v>145.7</c:v>
                </c:pt>
                <c:pt idx="150">
                  <c:v>146.2</c:v>
                </c:pt>
                <c:pt idx="151">
                  <c:v>146.5</c:v>
                </c:pt>
                <c:pt idx="152">
                  <c:v>146.8</c:v>
                </c:pt>
                <c:pt idx="153">
                  <c:v>147.1</c:v>
                </c:pt>
                <c:pt idx="154">
                  <c:v>147.3</c:v>
                </c:pt>
                <c:pt idx="155">
                  <c:v>147.7</c:v>
                </c:pt>
                <c:pt idx="156">
                  <c:v>147.9</c:v>
                </c:pt>
                <c:pt idx="157">
                  <c:v>148.3</c:v>
                </c:pt>
                <c:pt idx="158">
                  <c:v>148.5</c:v>
                </c:pt>
                <c:pt idx="159">
                  <c:v>148.9</c:v>
                </c:pt>
                <c:pt idx="160">
                  <c:v>149.1</c:v>
                </c:pt>
                <c:pt idx="161">
                  <c:v>149.5</c:v>
                </c:pt>
                <c:pt idx="162">
                  <c:v>149.7</c:v>
                </c:pt>
                <c:pt idx="163">
                  <c:v>149.8</c:v>
                </c:pt>
                <c:pt idx="164">
                  <c:v>150.0</c:v>
                </c:pt>
                <c:pt idx="165">
                  <c:v>150.1</c:v>
                </c:pt>
                <c:pt idx="166">
                  <c:v>150.3</c:v>
                </c:pt>
                <c:pt idx="167">
                  <c:v>150.4</c:v>
                </c:pt>
                <c:pt idx="168">
                  <c:v>150.6</c:v>
                </c:pt>
                <c:pt idx="169">
                  <c:v>150.8</c:v>
                </c:pt>
                <c:pt idx="170">
                  <c:v>150.9</c:v>
                </c:pt>
                <c:pt idx="171">
                  <c:v>151.1</c:v>
                </c:pt>
                <c:pt idx="172">
                  <c:v>151.2</c:v>
                </c:pt>
                <c:pt idx="173">
                  <c:v>151.4</c:v>
                </c:pt>
                <c:pt idx="174">
                  <c:v>151.5</c:v>
                </c:pt>
                <c:pt idx="175">
                  <c:v>151.5</c:v>
                </c:pt>
                <c:pt idx="176">
                  <c:v>151.6</c:v>
                </c:pt>
                <c:pt idx="177">
                  <c:v>151.6</c:v>
                </c:pt>
                <c:pt idx="178">
                  <c:v>151.7</c:v>
                </c:pt>
                <c:pt idx="179">
                  <c:v>151.7</c:v>
                </c:pt>
                <c:pt idx="180">
                  <c:v>151.8</c:v>
                </c:pt>
                <c:pt idx="181">
                  <c:v>151.8</c:v>
                </c:pt>
                <c:pt idx="182">
                  <c:v>151.9</c:v>
                </c:pt>
                <c:pt idx="183">
                  <c:v>152.0</c:v>
                </c:pt>
                <c:pt idx="184">
                  <c:v>152.0</c:v>
                </c:pt>
                <c:pt idx="185">
                  <c:v>152.1</c:v>
                </c:pt>
                <c:pt idx="186">
                  <c:v>152.1</c:v>
                </c:pt>
                <c:pt idx="187">
                  <c:v>152.1</c:v>
                </c:pt>
                <c:pt idx="188">
                  <c:v>152.2</c:v>
                </c:pt>
                <c:pt idx="189">
                  <c:v>152.2</c:v>
                </c:pt>
                <c:pt idx="190">
                  <c:v>152.2</c:v>
                </c:pt>
                <c:pt idx="191">
                  <c:v>152.3</c:v>
                </c:pt>
                <c:pt idx="192">
                  <c:v>152.3</c:v>
                </c:pt>
                <c:pt idx="193">
                  <c:v>152.3</c:v>
                </c:pt>
                <c:pt idx="194">
                  <c:v>152.4</c:v>
                </c:pt>
                <c:pt idx="195">
                  <c:v>152.4</c:v>
                </c:pt>
                <c:pt idx="196">
                  <c:v>152.4</c:v>
                </c:pt>
                <c:pt idx="197">
                  <c:v>152.5</c:v>
                </c:pt>
                <c:pt idx="198">
                  <c:v>152.5</c:v>
                </c:pt>
                <c:pt idx="199">
                  <c:v>152.5</c:v>
                </c:pt>
                <c:pt idx="200">
                  <c:v>152.6</c:v>
                </c:pt>
                <c:pt idx="201">
                  <c:v>152.6</c:v>
                </c:pt>
                <c:pt idx="202">
                  <c:v>152.6</c:v>
                </c:pt>
                <c:pt idx="203">
                  <c:v>152.7</c:v>
                </c:pt>
                <c:pt idx="204">
                  <c:v>152.7</c:v>
                </c:pt>
                <c:pt idx="205">
                  <c:v>152.7</c:v>
                </c:pt>
                <c:pt idx="206">
                  <c:v>152.8</c:v>
                </c:pt>
                <c:pt idx="207">
                  <c:v>152.8</c:v>
                </c:pt>
                <c:pt idx="208">
                  <c:v>152.8</c:v>
                </c:pt>
                <c:pt idx="209">
                  <c:v>152.9</c:v>
                </c:pt>
                <c:pt idx="210">
                  <c:v>152.8</c:v>
                </c:pt>
              </c:numCache>
            </c:numRef>
          </c:yVal>
          <c:smooth val="0"/>
        </c:ser>
        <c:ser>
          <c:idx val="4"/>
          <c:order val="4"/>
          <c:tx>
            <c:strRef>
              <c:f>成長曲線_データ!$K$2</c:f>
              <c:strCache>
                <c:ptCount val="1"/>
                <c:pt idx="0">
                  <c:v>-2SD</c:v>
                </c:pt>
              </c:strCache>
            </c:strRef>
          </c:tx>
          <c:spPr>
            <a:ln w="12700">
              <a:solidFill>
                <a:schemeClr val="tx1"/>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成長曲線_データ!$K$4:$K$214</c:f>
              <c:numCache>
                <c:formatCode>General</c:formatCode>
                <c:ptCount val="211"/>
                <c:pt idx="0">
                  <c:v>44.2</c:v>
                </c:pt>
                <c:pt idx="1">
                  <c:v>48.4</c:v>
                </c:pt>
                <c:pt idx="2">
                  <c:v>52.3</c:v>
                </c:pt>
                <c:pt idx="3">
                  <c:v>55.6</c:v>
                </c:pt>
                <c:pt idx="4">
                  <c:v>58.2</c:v>
                </c:pt>
                <c:pt idx="5">
                  <c:v>6</c:v>
                </c:pt>
                <c:pt idx="6">
                  <c:v>61.6</c:v>
                </c:pt>
                <c:pt idx="7">
                  <c:v>62.9</c:v>
                </c:pt>
                <c:pt idx="8">
                  <c:v>64.10000000000001</c:v>
                </c:pt>
                <c:pt idx="9">
                  <c:v>65.2</c:v>
                </c:pt>
                <c:pt idx="10">
                  <c:v>66.4</c:v>
                </c:pt>
                <c:pt idx="11">
                  <c:v>67.3</c:v>
                </c:pt>
                <c:pt idx="12">
                  <c:v>68.4</c:v>
                </c:pt>
                <c:pt idx="13">
                  <c:v>69.5</c:v>
                </c:pt>
                <c:pt idx="14">
                  <c:v>70.3</c:v>
                </c:pt>
                <c:pt idx="15">
                  <c:v>71.3</c:v>
                </c:pt>
                <c:pt idx="16">
                  <c:v>72.3</c:v>
                </c:pt>
                <c:pt idx="17">
                  <c:v>73.0</c:v>
                </c:pt>
                <c:pt idx="18">
                  <c:v>74.0</c:v>
                </c:pt>
                <c:pt idx="19">
                  <c:v>74.7</c:v>
                </c:pt>
                <c:pt idx="20">
                  <c:v>75.60000000000001</c:v>
                </c:pt>
                <c:pt idx="21">
                  <c:v>76.4</c:v>
                </c:pt>
                <c:pt idx="22">
                  <c:v>77.0</c:v>
                </c:pt>
                <c:pt idx="23">
                  <c:v>77.7</c:v>
                </c:pt>
                <c:pt idx="24">
                  <c:v>78.5</c:v>
                </c:pt>
                <c:pt idx="25">
                  <c:v>79.0</c:v>
                </c:pt>
                <c:pt idx="26">
                  <c:v>79.7</c:v>
                </c:pt>
                <c:pt idx="27">
                  <c:v>80.4</c:v>
                </c:pt>
                <c:pt idx="28">
                  <c:v>80.9</c:v>
                </c:pt>
                <c:pt idx="29">
                  <c:v>81.5</c:v>
                </c:pt>
                <c:pt idx="30">
                  <c:v>82.2</c:v>
                </c:pt>
                <c:pt idx="31">
                  <c:v>82.6</c:v>
                </c:pt>
                <c:pt idx="32">
                  <c:v>83.19999999999998</c:v>
                </c:pt>
                <c:pt idx="33">
                  <c:v>83.7</c:v>
                </c:pt>
                <c:pt idx="34">
                  <c:v>84.30000000000001</c:v>
                </c:pt>
                <c:pt idx="35">
                  <c:v>85.0</c:v>
                </c:pt>
                <c:pt idx="36">
                  <c:v>85.4</c:v>
                </c:pt>
                <c:pt idx="37">
                  <c:v>86.0</c:v>
                </c:pt>
                <c:pt idx="38">
                  <c:v>86.7</c:v>
                </c:pt>
                <c:pt idx="39">
                  <c:v>87.1</c:v>
                </c:pt>
                <c:pt idx="40">
                  <c:v>87.7</c:v>
                </c:pt>
                <c:pt idx="41">
                  <c:v>88.3</c:v>
                </c:pt>
                <c:pt idx="42">
                  <c:v>88.7</c:v>
                </c:pt>
                <c:pt idx="43">
                  <c:v>89.3</c:v>
                </c:pt>
                <c:pt idx="44">
                  <c:v>89.9</c:v>
                </c:pt>
                <c:pt idx="45">
                  <c:v>90.3</c:v>
                </c:pt>
                <c:pt idx="46">
                  <c:v>90.9</c:v>
                </c:pt>
                <c:pt idx="47">
                  <c:v>91.30000000000001</c:v>
                </c:pt>
                <c:pt idx="48">
                  <c:v>91.9</c:v>
                </c:pt>
                <c:pt idx="49">
                  <c:v>92.4</c:v>
                </c:pt>
                <c:pt idx="50">
                  <c:v>92.8</c:v>
                </c:pt>
                <c:pt idx="51">
                  <c:v>93.4</c:v>
                </c:pt>
                <c:pt idx="52">
                  <c:v>93.9</c:v>
                </c:pt>
                <c:pt idx="53">
                  <c:v>94.3</c:v>
                </c:pt>
                <c:pt idx="54">
                  <c:v>94.8</c:v>
                </c:pt>
                <c:pt idx="55">
                  <c:v>95.4</c:v>
                </c:pt>
                <c:pt idx="56">
                  <c:v>95.7</c:v>
                </c:pt>
                <c:pt idx="57">
                  <c:v>96.3</c:v>
                </c:pt>
                <c:pt idx="58">
                  <c:v>96.8</c:v>
                </c:pt>
                <c:pt idx="59">
                  <c:v>97.19999999999998</c:v>
                </c:pt>
                <c:pt idx="60">
                  <c:v>97.8</c:v>
                </c:pt>
                <c:pt idx="61">
                  <c:v>98.10000000000001</c:v>
                </c:pt>
                <c:pt idx="62">
                  <c:v>98.7</c:v>
                </c:pt>
                <c:pt idx="63">
                  <c:v>99.2</c:v>
                </c:pt>
                <c:pt idx="64">
                  <c:v>99.60000000000001</c:v>
                </c:pt>
                <c:pt idx="65">
                  <c:v>100.1</c:v>
                </c:pt>
                <c:pt idx="66">
                  <c:v>100.7</c:v>
                </c:pt>
                <c:pt idx="67">
                  <c:v>101.0</c:v>
                </c:pt>
                <c:pt idx="68">
                  <c:v>101.6</c:v>
                </c:pt>
                <c:pt idx="69">
                  <c:v>102.1</c:v>
                </c:pt>
                <c:pt idx="70">
                  <c:v>102.4</c:v>
                </c:pt>
                <c:pt idx="71">
                  <c:v>103.0</c:v>
                </c:pt>
                <c:pt idx="72">
                  <c:v>103.5</c:v>
                </c:pt>
                <c:pt idx="73">
                  <c:v>103.9</c:v>
                </c:pt>
                <c:pt idx="74">
                  <c:v>104.4</c:v>
                </c:pt>
                <c:pt idx="75">
                  <c:v>104.9</c:v>
                </c:pt>
                <c:pt idx="76">
                  <c:v>105.2</c:v>
                </c:pt>
                <c:pt idx="77">
                  <c:v>105.6</c:v>
                </c:pt>
                <c:pt idx="78">
                  <c:v>106.0</c:v>
                </c:pt>
                <c:pt idx="79">
                  <c:v>106.5</c:v>
                </c:pt>
                <c:pt idx="80">
                  <c:v>107.0</c:v>
                </c:pt>
                <c:pt idx="81">
                  <c:v>107.5</c:v>
                </c:pt>
                <c:pt idx="82">
                  <c:v>107.8</c:v>
                </c:pt>
                <c:pt idx="83">
                  <c:v>108.3</c:v>
                </c:pt>
                <c:pt idx="84">
                  <c:v>108.8</c:v>
                </c:pt>
                <c:pt idx="85">
                  <c:v>109.2</c:v>
                </c:pt>
                <c:pt idx="86">
                  <c:v>109.7</c:v>
                </c:pt>
                <c:pt idx="87">
                  <c:v>110.0</c:v>
                </c:pt>
                <c:pt idx="88">
                  <c:v>110.5</c:v>
                </c:pt>
                <c:pt idx="89">
                  <c:v>111.0</c:v>
                </c:pt>
                <c:pt idx="90">
                  <c:v>111.5</c:v>
                </c:pt>
                <c:pt idx="91">
                  <c:v>111.8</c:v>
                </c:pt>
                <c:pt idx="92">
                  <c:v>112.3</c:v>
                </c:pt>
                <c:pt idx="93">
                  <c:v>112.8</c:v>
                </c:pt>
                <c:pt idx="94">
                  <c:v>113.0</c:v>
                </c:pt>
                <c:pt idx="95">
                  <c:v>113.5</c:v>
                </c:pt>
                <c:pt idx="96">
                  <c:v>113.8</c:v>
                </c:pt>
                <c:pt idx="97">
                  <c:v>114.3</c:v>
                </c:pt>
                <c:pt idx="98">
                  <c:v>114.8</c:v>
                </c:pt>
                <c:pt idx="99">
                  <c:v>115.1</c:v>
                </c:pt>
                <c:pt idx="100">
                  <c:v>115.5</c:v>
                </c:pt>
                <c:pt idx="101">
                  <c:v>116.0</c:v>
                </c:pt>
                <c:pt idx="102">
                  <c:v>116.3</c:v>
                </c:pt>
                <c:pt idx="103">
                  <c:v>116.8</c:v>
                </c:pt>
                <c:pt idx="104">
                  <c:v>117.1</c:v>
                </c:pt>
                <c:pt idx="105">
                  <c:v>117.6</c:v>
                </c:pt>
                <c:pt idx="106">
                  <c:v>117.9</c:v>
                </c:pt>
                <c:pt idx="107">
                  <c:v>118.4</c:v>
                </c:pt>
                <c:pt idx="108">
                  <c:v>118.7</c:v>
                </c:pt>
                <c:pt idx="109">
                  <c:v>119.2</c:v>
                </c:pt>
                <c:pt idx="110">
                  <c:v>119.5</c:v>
                </c:pt>
                <c:pt idx="111">
                  <c:v>120.0</c:v>
                </c:pt>
                <c:pt idx="112">
                  <c:v>120.3</c:v>
                </c:pt>
                <c:pt idx="113">
                  <c:v>120.8</c:v>
                </c:pt>
                <c:pt idx="114">
                  <c:v>121.1</c:v>
                </c:pt>
                <c:pt idx="115">
                  <c:v>121.7</c:v>
                </c:pt>
                <c:pt idx="116">
                  <c:v>122.0</c:v>
                </c:pt>
                <c:pt idx="117">
                  <c:v>122.6</c:v>
                </c:pt>
                <c:pt idx="118">
                  <c:v>123.0</c:v>
                </c:pt>
                <c:pt idx="119">
                  <c:v>123.5</c:v>
                </c:pt>
                <c:pt idx="120">
                  <c:v>123.9</c:v>
                </c:pt>
                <c:pt idx="121">
                  <c:v>124.5</c:v>
                </c:pt>
                <c:pt idx="122">
                  <c:v>124.8</c:v>
                </c:pt>
                <c:pt idx="123">
                  <c:v>125.4</c:v>
                </c:pt>
                <c:pt idx="124">
                  <c:v>125.8</c:v>
                </c:pt>
                <c:pt idx="125">
                  <c:v>126.3</c:v>
                </c:pt>
                <c:pt idx="126">
                  <c:v>126.7</c:v>
                </c:pt>
                <c:pt idx="127">
                  <c:v>127.3</c:v>
                </c:pt>
                <c:pt idx="128">
                  <c:v>127.8</c:v>
                </c:pt>
                <c:pt idx="129">
                  <c:v>128.4</c:v>
                </c:pt>
                <c:pt idx="130">
                  <c:v>129.0</c:v>
                </c:pt>
                <c:pt idx="131">
                  <c:v>129.7</c:v>
                </c:pt>
                <c:pt idx="132">
                  <c:v>130.3</c:v>
                </c:pt>
                <c:pt idx="133">
                  <c:v>130.9</c:v>
                </c:pt>
                <c:pt idx="134">
                  <c:v>131.4</c:v>
                </c:pt>
                <c:pt idx="135">
                  <c:v>132.0</c:v>
                </c:pt>
                <c:pt idx="136">
                  <c:v>132.6</c:v>
                </c:pt>
                <c:pt idx="137">
                  <c:v>133.1</c:v>
                </c:pt>
                <c:pt idx="138">
                  <c:v>133.7</c:v>
                </c:pt>
                <c:pt idx="139">
                  <c:v>134.3</c:v>
                </c:pt>
                <c:pt idx="140">
                  <c:v>134.9</c:v>
                </c:pt>
                <c:pt idx="141">
                  <c:v>135.4</c:v>
                </c:pt>
                <c:pt idx="142">
                  <c:v>136.0</c:v>
                </c:pt>
                <c:pt idx="143">
                  <c:v>136.4</c:v>
                </c:pt>
                <c:pt idx="144">
                  <c:v>137.0</c:v>
                </c:pt>
                <c:pt idx="145">
                  <c:v>137.6</c:v>
                </c:pt>
                <c:pt idx="146">
                  <c:v>138.0</c:v>
                </c:pt>
                <c:pt idx="147">
                  <c:v>138.7</c:v>
                </c:pt>
                <c:pt idx="148">
                  <c:v>139.1</c:v>
                </c:pt>
                <c:pt idx="149">
                  <c:v>139.7</c:v>
                </c:pt>
                <c:pt idx="150">
                  <c:v>140.3</c:v>
                </c:pt>
                <c:pt idx="151">
                  <c:v>140.6</c:v>
                </c:pt>
                <c:pt idx="152">
                  <c:v>141.0</c:v>
                </c:pt>
                <c:pt idx="153">
                  <c:v>141.3</c:v>
                </c:pt>
                <c:pt idx="154">
                  <c:v>141.5</c:v>
                </c:pt>
                <c:pt idx="155">
                  <c:v>142.0</c:v>
                </c:pt>
                <c:pt idx="156">
                  <c:v>142.2</c:v>
                </c:pt>
                <c:pt idx="157">
                  <c:v>142.7</c:v>
                </c:pt>
                <c:pt idx="158">
                  <c:v>142.9</c:v>
                </c:pt>
                <c:pt idx="159">
                  <c:v>143.4</c:v>
                </c:pt>
                <c:pt idx="160">
                  <c:v>143.6</c:v>
                </c:pt>
                <c:pt idx="161">
                  <c:v>144.1</c:v>
                </c:pt>
                <c:pt idx="162">
                  <c:v>144.3</c:v>
                </c:pt>
                <c:pt idx="163">
                  <c:v>144.4</c:v>
                </c:pt>
                <c:pt idx="164">
                  <c:v>144.6</c:v>
                </c:pt>
                <c:pt idx="165">
                  <c:v>144.7</c:v>
                </c:pt>
                <c:pt idx="166">
                  <c:v>144.9</c:v>
                </c:pt>
                <c:pt idx="167">
                  <c:v>145.0</c:v>
                </c:pt>
                <c:pt idx="168">
                  <c:v>145.2</c:v>
                </c:pt>
                <c:pt idx="169">
                  <c:v>145.5</c:v>
                </c:pt>
                <c:pt idx="170">
                  <c:v>145.6</c:v>
                </c:pt>
                <c:pt idx="171">
                  <c:v>145.8</c:v>
                </c:pt>
                <c:pt idx="172">
                  <c:v>145.9</c:v>
                </c:pt>
                <c:pt idx="173">
                  <c:v>146.1</c:v>
                </c:pt>
                <c:pt idx="174">
                  <c:v>146.2</c:v>
                </c:pt>
                <c:pt idx="175">
                  <c:v>146.2</c:v>
                </c:pt>
                <c:pt idx="176">
                  <c:v>146.3</c:v>
                </c:pt>
                <c:pt idx="177">
                  <c:v>146.3</c:v>
                </c:pt>
                <c:pt idx="178">
                  <c:v>146.4</c:v>
                </c:pt>
                <c:pt idx="179">
                  <c:v>146.4</c:v>
                </c:pt>
                <c:pt idx="180">
                  <c:v>146.5</c:v>
                </c:pt>
                <c:pt idx="181">
                  <c:v>146.5</c:v>
                </c:pt>
                <c:pt idx="182">
                  <c:v>146.7</c:v>
                </c:pt>
                <c:pt idx="183">
                  <c:v>146.8</c:v>
                </c:pt>
                <c:pt idx="184">
                  <c:v>146.8</c:v>
                </c:pt>
                <c:pt idx="185">
                  <c:v>146.9</c:v>
                </c:pt>
                <c:pt idx="186">
                  <c:v>146.9</c:v>
                </c:pt>
                <c:pt idx="187">
                  <c:v>146.9</c:v>
                </c:pt>
                <c:pt idx="188">
                  <c:v>147.0</c:v>
                </c:pt>
                <c:pt idx="189">
                  <c:v>147.0</c:v>
                </c:pt>
                <c:pt idx="190">
                  <c:v>147.0</c:v>
                </c:pt>
                <c:pt idx="191">
                  <c:v>147.1</c:v>
                </c:pt>
                <c:pt idx="192">
                  <c:v>147.1</c:v>
                </c:pt>
                <c:pt idx="193">
                  <c:v>147.1</c:v>
                </c:pt>
                <c:pt idx="194">
                  <c:v>147.2</c:v>
                </c:pt>
                <c:pt idx="195">
                  <c:v>147.2</c:v>
                </c:pt>
                <c:pt idx="196">
                  <c:v>147.2</c:v>
                </c:pt>
                <c:pt idx="197">
                  <c:v>147.3</c:v>
                </c:pt>
                <c:pt idx="198">
                  <c:v>147.3</c:v>
                </c:pt>
                <c:pt idx="199">
                  <c:v>147.3</c:v>
                </c:pt>
                <c:pt idx="200">
                  <c:v>147.4</c:v>
                </c:pt>
                <c:pt idx="201">
                  <c:v>147.4</c:v>
                </c:pt>
                <c:pt idx="202">
                  <c:v>147.4</c:v>
                </c:pt>
                <c:pt idx="203">
                  <c:v>147.5</c:v>
                </c:pt>
                <c:pt idx="204">
                  <c:v>147.5</c:v>
                </c:pt>
                <c:pt idx="205">
                  <c:v>147.5</c:v>
                </c:pt>
                <c:pt idx="206">
                  <c:v>147.6</c:v>
                </c:pt>
                <c:pt idx="207">
                  <c:v>147.6</c:v>
                </c:pt>
                <c:pt idx="208">
                  <c:v>147.6</c:v>
                </c:pt>
                <c:pt idx="209">
                  <c:v>147.7</c:v>
                </c:pt>
                <c:pt idx="210">
                  <c:v>147.5</c:v>
                </c:pt>
              </c:numCache>
            </c:numRef>
          </c:yVal>
          <c:smooth val="0"/>
        </c:ser>
        <c:ser>
          <c:idx val="5"/>
          <c:order val="5"/>
          <c:tx>
            <c:strRef>
              <c:f>成長曲線_データ!$L$2</c:f>
              <c:strCache>
                <c:ptCount val="1"/>
                <c:pt idx="0">
                  <c:v>-2.5SD</c:v>
                </c:pt>
              </c:strCache>
            </c:strRef>
          </c:tx>
          <c:spPr>
            <a:ln w="12700">
              <a:solidFill>
                <a:sysClr val="windowText" lastClr="000000"/>
              </a:solidFill>
              <a:prstDash val="dash"/>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成長曲線_データ!$L$4:$L$214</c:f>
              <c:numCache>
                <c:formatCode>General</c:formatCode>
                <c:ptCount val="211"/>
                <c:pt idx="0">
                  <c:v>43.15</c:v>
                </c:pt>
                <c:pt idx="1">
                  <c:v>47.35</c:v>
                </c:pt>
                <c:pt idx="2">
                  <c:v>51.2</c:v>
                </c:pt>
                <c:pt idx="3">
                  <c:v>54.5</c:v>
                </c:pt>
                <c:pt idx="4">
                  <c:v>57.1</c:v>
                </c:pt>
                <c:pt idx="5">
                  <c:v>58.85</c:v>
                </c:pt>
                <c:pt idx="6">
                  <c:v>60.45</c:v>
                </c:pt>
                <c:pt idx="7">
                  <c:v>61.75</c:v>
                </c:pt>
                <c:pt idx="8">
                  <c:v>62.90000000000001</c:v>
                </c:pt>
                <c:pt idx="9">
                  <c:v>64.0</c:v>
                </c:pt>
                <c:pt idx="10">
                  <c:v>65.2</c:v>
                </c:pt>
                <c:pt idx="11">
                  <c:v>66.05</c:v>
                </c:pt>
                <c:pt idx="12">
                  <c:v>67.15000000000001</c:v>
                </c:pt>
                <c:pt idx="13">
                  <c:v>68.25</c:v>
                </c:pt>
                <c:pt idx="14">
                  <c:v>69.0</c:v>
                </c:pt>
                <c:pt idx="15">
                  <c:v>70.0</c:v>
                </c:pt>
                <c:pt idx="16">
                  <c:v>71.0</c:v>
                </c:pt>
                <c:pt idx="17">
                  <c:v>71.65000000000001</c:v>
                </c:pt>
                <c:pt idx="18">
                  <c:v>72.65000000000001</c:v>
                </c:pt>
                <c:pt idx="19">
                  <c:v>73.3</c:v>
                </c:pt>
                <c:pt idx="20">
                  <c:v>74.2</c:v>
                </c:pt>
                <c:pt idx="21">
                  <c:v>75.0</c:v>
                </c:pt>
                <c:pt idx="22">
                  <c:v>75.55</c:v>
                </c:pt>
                <c:pt idx="23">
                  <c:v>76.25</c:v>
                </c:pt>
                <c:pt idx="24">
                  <c:v>77.05</c:v>
                </c:pt>
                <c:pt idx="25">
                  <c:v>77.5</c:v>
                </c:pt>
                <c:pt idx="26">
                  <c:v>78.2</c:v>
                </c:pt>
                <c:pt idx="27">
                  <c:v>78.9</c:v>
                </c:pt>
                <c:pt idx="28">
                  <c:v>79.35</c:v>
                </c:pt>
                <c:pt idx="29">
                  <c:v>79.95</c:v>
                </c:pt>
                <c:pt idx="30">
                  <c:v>80.65000000000001</c:v>
                </c:pt>
                <c:pt idx="31">
                  <c:v>81.0</c:v>
                </c:pt>
                <c:pt idx="32">
                  <c:v>81.6</c:v>
                </c:pt>
                <c:pt idx="33">
                  <c:v>82.05</c:v>
                </c:pt>
                <c:pt idx="34">
                  <c:v>82.65000000000001</c:v>
                </c:pt>
                <c:pt idx="35">
                  <c:v>83.35</c:v>
                </c:pt>
                <c:pt idx="36">
                  <c:v>83.7</c:v>
                </c:pt>
                <c:pt idx="37">
                  <c:v>84.3</c:v>
                </c:pt>
                <c:pt idx="38">
                  <c:v>85.0</c:v>
                </c:pt>
                <c:pt idx="39">
                  <c:v>85.35</c:v>
                </c:pt>
                <c:pt idx="40">
                  <c:v>85.95</c:v>
                </c:pt>
                <c:pt idx="41">
                  <c:v>86.55</c:v>
                </c:pt>
                <c:pt idx="42">
                  <c:v>86.9</c:v>
                </c:pt>
                <c:pt idx="43">
                  <c:v>87.5</c:v>
                </c:pt>
                <c:pt idx="44">
                  <c:v>88.1</c:v>
                </c:pt>
                <c:pt idx="45">
                  <c:v>88.45</c:v>
                </c:pt>
                <c:pt idx="46">
                  <c:v>89.05</c:v>
                </c:pt>
                <c:pt idx="47">
                  <c:v>89.4</c:v>
                </c:pt>
                <c:pt idx="48">
                  <c:v>90.0</c:v>
                </c:pt>
                <c:pt idx="49">
                  <c:v>90.5</c:v>
                </c:pt>
                <c:pt idx="50">
                  <c:v>90.85</c:v>
                </c:pt>
                <c:pt idx="51">
                  <c:v>91.45</c:v>
                </c:pt>
                <c:pt idx="52">
                  <c:v>91.95</c:v>
                </c:pt>
                <c:pt idx="53">
                  <c:v>92.3</c:v>
                </c:pt>
                <c:pt idx="54">
                  <c:v>92.8</c:v>
                </c:pt>
                <c:pt idx="55">
                  <c:v>93.4</c:v>
                </c:pt>
                <c:pt idx="56">
                  <c:v>93.65000000000001</c:v>
                </c:pt>
                <c:pt idx="57">
                  <c:v>94.25</c:v>
                </c:pt>
                <c:pt idx="58">
                  <c:v>94.75</c:v>
                </c:pt>
                <c:pt idx="59">
                  <c:v>95.1</c:v>
                </c:pt>
                <c:pt idx="60">
                  <c:v>95.7</c:v>
                </c:pt>
                <c:pt idx="61">
                  <c:v>95.95</c:v>
                </c:pt>
                <c:pt idx="62">
                  <c:v>96.55</c:v>
                </c:pt>
                <c:pt idx="63">
                  <c:v>97.05</c:v>
                </c:pt>
                <c:pt idx="64">
                  <c:v>97.4</c:v>
                </c:pt>
                <c:pt idx="65">
                  <c:v>97.9</c:v>
                </c:pt>
                <c:pt idx="66">
                  <c:v>98.5</c:v>
                </c:pt>
                <c:pt idx="67">
                  <c:v>98.75</c:v>
                </c:pt>
                <c:pt idx="68">
                  <c:v>99.35</c:v>
                </c:pt>
                <c:pt idx="69">
                  <c:v>99.85</c:v>
                </c:pt>
                <c:pt idx="70">
                  <c:v>100.1</c:v>
                </c:pt>
                <c:pt idx="71">
                  <c:v>100.7</c:v>
                </c:pt>
                <c:pt idx="72">
                  <c:v>101.2</c:v>
                </c:pt>
                <c:pt idx="73">
                  <c:v>101.55</c:v>
                </c:pt>
                <c:pt idx="74">
                  <c:v>102.05</c:v>
                </c:pt>
                <c:pt idx="75">
                  <c:v>102.6</c:v>
                </c:pt>
                <c:pt idx="76">
                  <c:v>102.85</c:v>
                </c:pt>
                <c:pt idx="77">
                  <c:v>103.2</c:v>
                </c:pt>
                <c:pt idx="78">
                  <c:v>103.55</c:v>
                </c:pt>
                <c:pt idx="79">
                  <c:v>104.05</c:v>
                </c:pt>
                <c:pt idx="80">
                  <c:v>104.55</c:v>
                </c:pt>
                <c:pt idx="81">
                  <c:v>105.05</c:v>
                </c:pt>
                <c:pt idx="82">
                  <c:v>105.3</c:v>
                </c:pt>
                <c:pt idx="83">
                  <c:v>105.8</c:v>
                </c:pt>
                <c:pt idx="84">
                  <c:v>106.3</c:v>
                </c:pt>
                <c:pt idx="85">
                  <c:v>106.7</c:v>
                </c:pt>
                <c:pt idx="86">
                  <c:v>107.2</c:v>
                </c:pt>
                <c:pt idx="87">
                  <c:v>107.45</c:v>
                </c:pt>
                <c:pt idx="88">
                  <c:v>107.95</c:v>
                </c:pt>
                <c:pt idx="89">
                  <c:v>108.45</c:v>
                </c:pt>
                <c:pt idx="90">
                  <c:v>108.95</c:v>
                </c:pt>
                <c:pt idx="91">
                  <c:v>109.2</c:v>
                </c:pt>
                <c:pt idx="92">
                  <c:v>109.7</c:v>
                </c:pt>
                <c:pt idx="93">
                  <c:v>110.2</c:v>
                </c:pt>
                <c:pt idx="94">
                  <c:v>110.35</c:v>
                </c:pt>
                <c:pt idx="95">
                  <c:v>110.85</c:v>
                </c:pt>
                <c:pt idx="96">
                  <c:v>111.1</c:v>
                </c:pt>
                <c:pt idx="97">
                  <c:v>111.6</c:v>
                </c:pt>
                <c:pt idx="98">
                  <c:v>112.1</c:v>
                </c:pt>
                <c:pt idx="99">
                  <c:v>112.35</c:v>
                </c:pt>
                <c:pt idx="100">
                  <c:v>112.75</c:v>
                </c:pt>
                <c:pt idx="101">
                  <c:v>113.25</c:v>
                </c:pt>
                <c:pt idx="102">
                  <c:v>113.5</c:v>
                </c:pt>
                <c:pt idx="103">
                  <c:v>114.0</c:v>
                </c:pt>
                <c:pt idx="104">
                  <c:v>114.25</c:v>
                </c:pt>
                <c:pt idx="105">
                  <c:v>114.75</c:v>
                </c:pt>
                <c:pt idx="106">
                  <c:v>115.0</c:v>
                </c:pt>
                <c:pt idx="107">
                  <c:v>115.5</c:v>
                </c:pt>
                <c:pt idx="108">
                  <c:v>115.75</c:v>
                </c:pt>
                <c:pt idx="109">
                  <c:v>116.25</c:v>
                </c:pt>
                <c:pt idx="110">
                  <c:v>116.5</c:v>
                </c:pt>
                <c:pt idx="111">
                  <c:v>117.0</c:v>
                </c:pt>
                <c:pt idx="112">
                  <c:v>117.25</c:v>
                </c:pt>
                <c:pt idx="113">
                  <c:v>117.75</c:v>
                </c:pt>
                <c:pt idx="114">
                  <c:v>118.0</c:v>
                </c:pt>
                <c:pt idx="115">
                  <c:v>118.6</c:v>
                </c:pt>
                <c:pt idx="116">
                  <c:v>118.85</c:v>
                </c:pt>
                <c:pt idx="117">
                  <c:v>119.45</c:v>
                </c:pt>
                <c:pt idx="118">
                  <c:v>119.8</c:v>
                </c:pt>
                <c:pt idx="119">
                  <c:v>120.3</c:v>
                </c:pt>
                <c:pt idx="120">
                  <c:v>120.65</c:v>
                </c:pt>
                <c:pt idx="121">
                  <c:v>121.25</c:v>
                </c:pt>
                <c:pt idx="122">
                  <c:v>121.5</c:v>
                </c:pt>
                <c:pt idx="123">
                  <c:v>122.1</c:v>
                </c:pt>
                <c:pt idx="124">
                  <c:v>122.45</c:v>
                </c:pt>
                <c:pt idx="125">
                  <c:v>122.95</c:v>
                </c:pt>
                <c:pt idx="126">
                  <c:v>123.3</c:v>
                </c:pt>
                <c:pt idx="127">
                  <c:v>123.9</c:v>
                </c:pt>
                <c:pt idx="128">
                  <c:v>124.4</c:v>
                </c:pt>
                <c:pt idx="129">
                  <c:v>125.0</c:v>
                </c:pt>
                <c:pt idx="130">
                  <c:v>125.6</c:v>
                </c:pt>
                <c:pt idx="131">
                  <c:v>126.35</c:v>
                </c:pt>
                <c:pt idx="132">
                  <c:v>126.95</c:v>
                </c:pt>
                <c:pt idx="133">
                  <c:v>127.55</c:v>
                </c:pt>
                <c:pt idx="134">
                  <c:v>128.05</c:v>
                </c:pt>
                <c:pt idx="135">
                  <c:v>128.65</c:v>
                </c:pt>
                <c:pt idx="136">
                  <c:v>129.25</c:v>
                </c:pt>
                <c:pt idx="137">
                  <c:v>129.75</c:v>
                </c:pt>
                <c:pt idx="138">
                  <c:v>130.35</c:v>
                </c:pt>
                <c:pt idx="139">
                  <c:v>131.0</c:v>
                </c:pt>
                <c:pt idx="140">
                  <c:v>131.65</c:v>
                </c:pt>
                <c:pt idx="141">
                  <c:v>132.15</c:v>
                </c:pt>
                <c:pt idx="142">
                  <c:v>132.8</c:v>
                </c:pt>
                <c:pt idx="143">
                  <c:v>133.2</c:v>
                </c:pt>
                <c:pt idx="144">
                  <c:v>133.85</c:v>
                </c:pt>
                <c:pt idx="145">
                  <c:v>134.5</c:v>
                </c:pt>
                <c:pt idx="146">
                  <c:v>134.9</c:v>
                </c:pt>
                <c:pt idx="147">
                  <c:v>135.65</c:v>
                </c:pt>
                <c:pt idx="148">
                  <c:v>136.05</c:v>
                </c:pt>
                <c:pt idx="149">
                  <c:v>136.7</c:v>
                </c:pt>
                <c:pt idx="150">
                  <c:v>137.35</c:v>
                </c:pt>
                <c:pt idx="151">
                  <c:v>137.65</c:v>
                </c:pt>
                <c:pt idx="152">
                  <c:v>138.1</c:v>
                </c:pt>
                <c:pt idx="153">
                  <c:v>138.4</c:v>
                </c:pt>
                <c:pt idx="154">
                  <c:v>138.6</c:v>
                </c:pt>
                <c:pt idx="155">
                  <c:v>139.15</c:v>
                </c:pt>
                <c:pt idx="156">
                  <c:v>139.35</c:v>
                </c:pt>
                <c:pt idx="157">
                  <c:v>139.9</c:v>
                </c:pt>
                <c:pt idx="158">
                  <c:v>140.1</c:v>
                </c:pt>
                <c:pt idx="159">
                  <c:v>140.65</c:v>
                </c:pt>
                <c:pt idx="160">
                  <c:v>140.85</c:v>
                </c:pt>
                <c:pt idx="161">
                  <c:v>141.4</c:v>
                </c:pt>
                <c:pt idx="162">
                  <c:v>141.6</c:v>
                </c:pt>
                <c:pt idx="163">
                  <c:v>141.7</c:v>
                </c:pt>
                <c:pt idx="164">
                  <c:v>141.9</c:v>
                </c:pt>
                <c:pt idx="165">
                  <c:v>142.0</c:v>
                </c:pt>
                <c:pt idx="166">
                  <c:v>142.2</c:v>
                </c:pt>
                <c:pt idx="167">
                  <c:v>142.3</c:v>
                </c:pt>
                <c:pt idx="168">
                  <c:v>142.5</c:v>
                </c:pt>
                <c:pt idx="169">
                  <c:v>142.85</c:v>
                </c:pt>
                <c:pt idx="170">
                  <c:v>142.95</c:v>
                </c:pt>
                <c:pt idx="171">
                  <c:v>143.15</c:v>
                </c:pt>
                <c:pt idx="172">
                  <c:v>143.25</c:v>
                </c:pt>
                <c:pt idx="173">
                  <c:v>143.45</c:v>
                </c:pt>
                <c:pt idx="174">
                  <c:v>143.55</c:v>
                </c:pt>
                <c:pt idx="175">
                  <c:v>143.55</c:v>
                </c:pt>
                <c:pt idx="176">
                  <c:v>143.65</c:v>
                </c:pt>
                <c:pt idx="177">
                  <c:v>143.65</c:v>
                </c:pt>
                <c:pt idx="178">
                  <c:v>143.75</c:v>
                </c:pt>
                <c:pt idx="179">
                  <c:v>143.75</c:v>
                </c:pt>
                <c:pt idx="180">
                  <c:v>143.85</c:v>
                </c:pt>
                <c:pt idx="181">
                  <c:v>143.85</c:v>
                </c:pt>
                <c:pt idx="182">
                  <c:v>144.1</c:v>
                </c:pt>
                <c:pt idx="183">
                  <c:v>144.2</c:v>
                </c:pt>
                <c:pt idx="184">
                  <c:v>144.2</c:v>
                </c:pt>
                <c:pt idx="185">
                  <c:v>144.3</c:v>
                </c:pt>
                <c:pt idx="186">
                  <c:v>144.3</c:v>
                </c:pt>
                <c:pt idx="187">
                  <c:v>144.3</c:v>
                </c:pt>
                <c:pt idx="188">
                  <c:v>144.4</c:v>
                </c:pt>
                <c:pt idx="189">
                  <c:v>144.4</c:v>
                </c:pt>
                <c:pt idx="190">
                  <c:v>144.4</c:v>
                </c:pt>
                <c:pt idx="191">
                  <c:v>144.5</c:v>
                </c:pt>
                <c:pt idx="192">
                  <c:v>144.5</c:v>
                </c:pt>
                <c:pt idx="193">
                  <c:v>144.5</c:v>
                </c:pt>
                <c:pt idx="194">
                  <c:v>144.6</c:v>
                </c:pt>
                <c:pt idx="195">
                  <c:v>144.6</c:v>
                </c:pt>
                <c:pt idx="196">
                  <c:v>144.6</c:v>
                </c:pt>
                <c:pt idx="197">
                  <c:v>144.7</c:v>
                </c:pt>
                <c:pt idx="198">
                  <c:v>144.7</c:v>
                </c:pt>
                <c:pt idx="199">
                  <c:v>144.7</c:v>
                </c:pt>
                <c:pt idx="200">
                  <c:v>144.8</c:v>
                </c:pt>
                <c:pt idx="201">
                  <c:v>144.8</c:v>
                </c:pt>
                <c:pt idx="202">
                  <c:v>144.8</c:v>
                </c:pt>
                <c:pt idx="203">
                  <c:v>144.9</c:v>
                </c:pt>
                <c:pt idx="204">
                  <c:v>144.9</c:v>
                </c:pt>
                <c:pt idx="205">
                  <c:v>144.9</c:v>
                </c:pt>
                <c:pt idx="206">
                  <c:v>145.0</c:v>
                </c:pt>
                <c:pt idx="207">
                  <c:v>145.0</c:v>
                </c:pt>
                <c:pt idx="208">
                  <c:v>145.0</c:v>
                </c:pt>
                <c:pt idx="209">
                  <c:v>145.1</c:v>
                </c:pt>
                <c:pt idx="210">
                  <c:v>144.85</c:v>
                </c:pt>
              </c:numCache>
            </c:numRef>
          </c:yVal>
          <c:smooth val="0"/>
        </c:ser>
        <c:ser>
          <c:idx val="6"/>
          <c:order val="6"/>
          <c:tx>
            <c:strRef>
              <c:f>成長曲線_データ!$M$2</c:f>
              <c:strCache>
                <c:ptCount val="1"/>
                <c:pt idx="0">
                  <c:v>-3SD</c:v>
                </c:pt>
              </c:strCache>
            </c:strRef>
          </c:tx>
          <c:spPr>
            <a:ln w="12700">
              <a:solidFill>
                <a:sysClr val="windowText" lastClr="000000"/>
              </a:solidFill>
            </a:ln>
          </c:spPr>
          <c:marker>
            <c:symbol val="none"/>
          </c:marker>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成長曲線_データ!$M$4:$M$214</c:f>
              <c:numCache>
                <c:formatCode>General</c:formatCode>
                <c:ptCount val="211"/>
                <c:pt idx="0">
                  <c:v>42.1</c:v>
                </c:pt>
                <c:pt idx="1">
                  <c:v>46.3</c:v>
                </c:pt>
                <c:pt idx="2">
                  <c:v>50.1</c:v>
                </c:pt>
                <c:pt idx="3">
                  <c:v>53.4</c:v>
                </c:pt>
                <c:pt idx="4">
                  <c:v>56.0</c:v>
                </c:pt>
                <c:pt idx="5">
                  <c:v>57.7</c:v>
                </c:pt>
                <c:pt idx="6">
                  <c:v>59.3</c:v>
                </c:pt>
                <c:pt idx="7">
                  <c:v>60.6</c:v>
                </c:pt>
                <c:pt idx="8">
                  <c:v>61.7</c:v>
                </c:pt>
                <c:pt idx="9">
                  <c:v>62.8</c:v>
                </c:pt>
                <c:pt idx="10">
                  <c:v>64.0</c:v>
                </c:pt>
                <c:pt idx="11">
                  <c:v>64.8</c:v>
                </c:pt>
                <c:pt idx="12">
                  <c:v>65.9</c:v>
                </c:pt>
                <c:pt idx="13">
                  <c:v>67.0</c:v>
                </c:pt>
                <c:pt idx="14">
                  <c:v>67.7</c:v>
                </c:pt>
                <c:pt idx="15">
                  <c:v>68.7</c:v>
                </c:pt>
                <c:pt idx="16">
                  <c:v>69.7</c:v>
                </c:pt>
                <c:pt idx="17">
                  <c:v>70.30000000000001</c:v>
                </c:pt>
                <c:pt idx="18">
                  <c:v>71.30000000000001</c:v>
                </c:pt>
                <c:pt idx="19">
                  <c:v>71.9</c:v>
                </c:pt>
                <c:pt idx="20">
                  <c:v>72.80000000000001</c:v>
                </c:pt>
                <c:pt idx="21">
                  <c:v>73.6</c:v>
                </c:pt>
                <c:pt idx="22">
                  <c:v>74.1</c:v>
                </c:pt>
                <c:pt idx="23">
                  <c:v>74.8</c:v>
                </c:pt>
                <c:pt idx="24">
                  <c:v>75.6</c:v>
                </c:pt>
                <c:pt idx="25">
                  <c:v>76.0</c:v>
                </c:pt>
                <c:pt idx="26">
                  <c:v>76.7</c:v>
                </c:pt>
                <c:pt idx="27">
                  <c:v>77.4</c:v>
                </c:pt>
                <c:pt idx="28">
                  <c:v>77.8</c:v>
                </c:pt>
                <c:pt idx="29">
                  <c:v>78.4</c:v>
                </c:pt>
                <c:pt idx="30">
                  <c:v>79.10000000000001</c:v>
                </c:pt>
                <c:pt idx="31">
                  <c:v>79.4</c:v>
                </c:pt>
                <c:pt idx="32">
                  <c:v>80.0</c:v>
                </c:pt>
                <c:pt idx="33">
                  <c:v>80.4</c:v>
                </c:pt>
                <c:pt idx="34">
                  <c:v>81.0</c:v>
                </c:pt>
                <c:pt idx="35">
                  <c:v>81.69999999999998</c:v>
                </c:pt>
                <c:pt idx="36">
                  <c:v>82.0</c:v>
                </c:pt>
                <c:pt idx="37">
                  <c:v>82.6</c:v>
                </c:pt>
                <c:pt idx="38">
                  <c:v>83.3</c:v>
                </c:pt>
                <c:pt idx="39">
                  <c:v>83.6</c:v>
                </c:pt>
                <c:pt idx="40">
                  <c:v>84.2</c:v>
                </c:pt>
                <c:pt idx="41">
                  <c:v>84.8</c:v>
                </c:pt>
                <c:pt idx="42">
                  <c:v>85.10000000000001</c:v>
                </c:pt>
                <c:pt idx="43">
                  <c:v>85.7</c:v>
                </c:pt>
                <c:pt idx="44">
                  <c:v>86.3</c:v>
                </c:pt>
                <c:pt idx="45">
                  <c:v>86.6</c:v>
                </c:pt>
                <c:pt idx="46">
                  <c:v>87.19999999999998</c:v>
                </c:pt>
                <c:pt idx="47">
                  <c:v>87.5</c:v>
                </c:pt>
                <c:pt idx="48">
                  <c:v>88.1</c:v>
                </c:pt>
                <c:pt idx="49">
                  <c:v>88.6</c:v>
                </c:pt>
                <c:pt idx="50">
                  <c:v>88.9</c:v>
                </c:pt>
                <c:pt idx="51">
                  <c:v>89.5</c:v>
                </c:pt>
                <c:pt idx="52">
                  <c:v>90.0</c:v>
                </c:pt>
                <c:pt idx="53">
                  <c:v>90.3</c:v>
                </c:pt>
                <c:pt idx="54">
                  <c:v>90.8</c:v>
                </c:pt>
                <c:pt idx="55">
                  <c:v>91.4</c:v>
                </c:pt>
                <c:pt idx="56">
                  <c:v>91.60000000000001</c:v>
                </c:pt>
                <c:pt idx="57">
                  <c:v>92.2</c:v>
                </c:pt>
                <c:pt idx="58">
                  <c:v>92.7</c:v>
                </c:pt>
                <c:pt idx="59">
                  <c:v>93.0</c:v>
                </c:pt>
                <c:pt idx="60">
                  <c:v>93.6</c:v>
                </c:pt>
                <c:pt idx="61">
                  <c:v>93.80000000000001</c:v>
                </c:pt>
                <c:pt idx="62">
                  <c:v>94.4</c:v>
                </c:pt>
                <c:pt idx="63">
                  <c:v>94.9</c:v>
                </c:pt>
                <c:pt idx="64">
                  <c:v>95.2</c:v>
                </c:pt>
                <c:pt idx="65">
                  <c:v>95.7</c:v>
                </c:pt>
                <c:pt idx="66">
                  <c:v>96.3</c:v>
                </c:pt>
                <c:pt idx="67">
                  <c:v>96.5</c:v>
                </c:pt>
                <c:pt idx="68">
                  <c:v>97.1</c:v>
                </c:pt>
                <c:pt idx="69">
                  <c:v>97.6</c:v>
                </c:pt>
                <c:pt idx="70">
                  <c:v>97.8</c:v>
                </c:pt>
                <c:pt idx="71">
                  <c:v>98.4</c:v>
                </c:pt>
                <c:pt idx="72">
                  <c:v>98.9</c:v>
                </c:pt>
                <c:pt idx="73">
                  <c:v>99.19999999999998</c:v>
                </c:pt>
                <c:pt idx="74">
                  <c:v>99.69999999999998</c:v>
                </c:pt>
                <c:pt idx="75">
                  <c:v>100.3</c:v>
                </c:pt>
                <c:pt idx="76">
                  <c:v>100.5</c:v>
                </c:pt>
                <c:pt idx="77">
                  <c:v>100.8</c:v>
                </c:pt>
                <c:pt idx="78">
                  <c:v>101.1</c:v>
                </c:pt>
                <c:pt idx="79">
                  <c:v>101.6</c:v>
                </c:pt>
                <c:pt idx="80">
                  <c:v>102.1</c:v>
                </c:pt>
                <c:pt idx="81">
                  <c:v>102.6</c:v>
                </c:pt>
                <c:pt idx="82">
                  <c:v>102.8</c:v>
                </c:pt>
                <c:pt idx="83">
                  <c:v>103.3</c:v>
                </c:pt>
                <c:pt idx="84">
                  <c:v>103.8</c:v>
                </c:pt>
                <c:pt idx="85">
                  <c:v>104.2</c:v>
                </c:pt>
                <c:pt idx="86">
                  <c:v>104.7</c:v>
                </c:pt>
                <c:pt idx="87">
                  <c:v>104.9</c:v>
                </c:pt>
                <c:pt idx="88">
                  <c:v>105.4</c:v>
                </c:pt>
                <c:pt idx="89">
                  <c:v>105.9</c:v>
                </c:pt>
                <c:pt idx="90">
                  <c:v>106.4</c:v>
                </c:pt>
                <c:pt idx="91">
                  <c:v>106.6</c:v>
                </c:pt>
                <c:pt idx="92">
                  <c:v>107.1</c:v>
                </c:pt>
                <c:pt idx="93">
                  <c:v>107.6</c:v>
                </c:pt>
                <c:pt idx="94">
                  <c:v>107.7</c:v>
                </c:pt>
                <c:pt idx="95">
                  <c:v>108.2</c:v>
                </c:pt>
                <c:pt idx="96">
                  <c:v>108.4</c:v>
                </c:pt>
                <c:pt idx="97">
                  <c:v>108.9</c:v>
                </c:pt>
                <c:pt idx="98">
                  <c:v>109.4</c:v>
                </c:pt>
                <c:pt idx="99">
                  <c:v>109.6</c:v>
                </c:pt>
                <c:pt idx="100">
                  <c:v>110.0</c:v>
                </c:pt>
                <c:pt idx="101">
                  <c:v>110.5</c:v>
                </c:pt>
                <c:pt idx="102">
                  <c:v>110.7</c:v>
                </c:pt>
                <c:pt idx="103">
                  <c:v>111.2</c:v>
                </c:pt>
                <c:pt idx="104">
                  <c:v>111.4</c:v>
                </c:pt>
                <c:pt idx="105">
                  <c:v>111.9</c:v>
                </c:pt>
                <c:pt idx="106">
                  <c:v>112.1</c:v>
                </c:pt>
                <c:pt idx="107">
                  <c:v>112.6</c:v>
                </c:pt>
                <c:pt idx="108">
                  <c:v>112.8</c:v>
                </c:pt>
                <c:pt idx="109">
                  <c:v>113.3</c:v>
                </c:pt>
                <c:pt idx="110">
                  <c:v>113.5</c:v>
                </c:pt>
                <c:pt idx="111">
                  <c:v>114.0</c:v>
                </c:pt>
                <c:pt idx="112">
                  <c:v>114.2</c:v>
                </c:pt>
                <c:pt idx="113">
                  <c:v>114.7</c:v>
                </c:pt>
                <c:pt idx="114">
                  <c:v>114.9</c:v>
                </c:pt>
                <c:pt idx="115">
                  <c:v>115.5</c:v>
                </c:pt>
                <c:pt idx="116">
                  <c:v>115.7</c:v>
                </c:pt>
                <c:pt idx="117">
                  <c:v>116.3</c:v>
                </c:pt>
                <c:pt idx="118">
                  <c:v>116.6</c:v>
                </c:pt>
                <c:pt idx="119">
                  <c:v>117.1</c:v>
                </c:pt>
                <c:pt idx="120">
                  <c:v>117.4</c:v>
                </c:pt>
                <c:pt idx="121">
                  <c:v>118.0</c:v>
                </c:pt>
                <c:pt idx="122">
                  <c:v>118.2</c:v>
                </c:pt>
                <c:pt idx="123">
                  <c:v>118.8</c:v>
                </c:pt>
                <c:pt idx="124">
                  <c:v>119.1</c:v>
                </c:pt>
                <c:pt idx="125">
                  <c:v>119.6</c:v>
                </c:pt>
                <c:pt idx="126">
                  <c:v>119.9</c:v>
                </c:pt>
                <c:pt idx="127">
                  <c:v>120.5</c:v>
                </c:pt>
                <c:pt idx="128">
                  <c:v>121.0</c:v>
                </c:pt>
                <c:pt idx="129">
                  <c:v>121.6</c:v>
                </c:pt>
                <c:pt idx="130">
                  <c:v>122.2</c:v>
                </c:pt>
                <c:pt idx="131">
                  <c:v>123.0</c:v>
                </c:pt>
                <c:pt idx="132">
                  <c:v>123.6</c:v>
                </c:pt>
                <c:pt idx="133">
                  <c:v>124.2</c:v>
                </c:pt>
                <c:pt idx="134">
                  <c:v>124.7</c:v>
                </c:pt>
                <c:pt idx="135">
                  <c:v>125.3</c:v>
                </c:pt>
                <c:pt idx="136">
                  <c:v>125.9</c:v>
                </c:pt>
                <c:pt idx="137">
                  <c:v>126.4</c:v>
                </c:pt>
                <c:pt idx="138">
                  <c:v>127.0</c:v>
                </c:pt>
                <c:pt idx="139">
                  <c:v>127.7</c:v>
                </c:pt>
                <c:pt idx="140">
                  <c:v>128.4</c:v>
                </c:pt>
                <c:pt idx="141">
                  <c:v>128.9</c:v>
                </c:pt>
                <c:pt idx="142">
                  <c:v>129.6</c:v>
                </c:pt>
                <c:pt idx="143">
                  <c:v>130.0</c:v>
                </c:pt>
                <c:pt idx="144">
                  <c:v>130.7</c:v>
                </c:pt>
                <c:pt idx="145">
                  <c:v>131.4</c:v>
                </c:pt>
                <c:pt idx="146">
                  <c:v>131.8</c:v>
                </c:pt>
                <c:pt idx="147">
                  <c:v>132.6</c:v>
                </c:pt>
                <c:pt idx="148">
                  <c:v>133.0</c:v>
                </c:pt>
                <c:pt idx="149">
                  <c:v>133.7</c:v>
                </c:pt>
                <c:pt idx="150">
                  <c:v>134.4</c:v>
                </c:pt>
                <c:pt idx="151">
                  <c:v>134.7</c:v>
                </c:pt>
                <c:pt idx="152">
                  <c:v>135.2</c:v>
                </c:pt>
                <c:pt idx="153">
                  <c:v>135.5</c:v>
                </c:pt>
                <c:pt idx="154">
                  <c:v>135.7</c:v>
                </c:pt>
                <c:pt idx="155">
                  <c:v>136.3</c:v>
                </c:pt>
                <c:pt idx="156">
                  <c:v>136.5</c:v>
                </c:pt>
                <c:pt idx="157">
                  <c:v>137.1</c:v>
                </c:pt>
                <c:pt idx="158">
                  <c:v>137.3</c:v>
                </c:pt>
                <c:pt idx="159">
                  <c:v>137.9</c:v>
                </c:pt>
                <c:pt idx="160">
                  <c:v>138.1</c:v>
                </c:pt>
                <c:pt idx="161">
                  <c:v>138.7</c:v>
                </c:pt>
                <c:pt idx="162">
                  <c:v>138.9</c:v>
                </c:pt>
                <c:pt idx="163">
                  <c:v>139.0</c:v>
                </c:pt>
                <c:pt idx="164">
                  <c:v>139.2</c:v>
                </c:pt>
                <c:pt idx="165">
                  <c:v>139.3</c:v>
                </c:pt>
                <c:pt idx="166">
                  <c:v>139.5</c:v>
                </c:pt>
                <c:pt idx="167">
                  <c:v>139.6</c:v>
                </c:pt>
                <c:pt idx="168">
                  <c:v>139.8</c:v>
                </c:pt>
                <c:pt idx="169">
                  <c:v>140.2</c:v>
                </c:pt>
                <c:pt idx="170">
                  <c:v>140.3</c:v>
                </c:pt>
                <c:pt idx="171">
                  <c:v>140.5</c:v>
                </c:pt>
                <c:pt idx="172">
                  <c:v>140.6</c:v>
                </c:pt>
                <c:pt idx="173">
                  <c:v>140.8</c:v>
                </c:pt>
                <c:pt idx="174">
                  <c:v>140.9</c:v>
                </c:pt>
                <c:pt idx="175">
                  <c:v>140.9</c:v>
                </c:pt>
                <c:pt idx="176">
                  <c:v>141.0</c:v>
                </c:pt>
                <c:pt idx="177">
                  <c:v>141.0</c:v>
                </c:pt>
                <c:pt idx="178">
                  <c:v>141.1</c:v>
                </c:pt>
                <c:pt idx="179">
                  <c:v>141.1</c:v>
                </c:pt>
                <c:pt idx="180">
                  <c:v>141.2</c:v>
                </c:pt>
                <c:pt idx="181">
                  <c:v>141.2</c:v>
                </c:pt>
                <c:pt idx="182">
                  <c:v>141.5</c:v>
                </c:pt>
                <c:pt idx="183">
                  <c:v>141.6</c:v>
                </c:pt>
                <c:pt idx="184">
                  <c:v>141.6</c:v>
                </c:pt>
                <c:pt idx="185">
                  <c:v>141.7</c:v>
                </c:pt>
                <c:pt idx="186">
                  <c:v>141.7</c:v>
                </c:pt>
                <c:pt idx="187">
                  <c:v>141.7</c:v>
                </c:pt>
                <c:pt idx="188">
                  <c:v>141.8</c:v>
                </c:pt>
                <c:pt idx="189">
                  <c:v>141.8</c:v>
                </c:pt>
                <c:pt idx="190">
                  <c:v>141.8</c:v>
                </c:pt>
                <c:pt idx="191">
                  <c:v>141.9</c:v>
                </c:pt>
                <c:pt idx="192">
                  <c:v>141.9</c:v>
                </c:pt>
                <c:pt idx="193">
                  <c:v>141.9</c:v>
                </c:pt>
                <c:pt idx="194">
                  <c:v>142.0</c:v>
                </c:pt>
                <c:pt idx="195">
                  <c:v>142.0</c:v>
                </c:pt>
                <c:pt idx="196">
                  <c:v>142.0</c:v>
                </c:pt>
                <c:pt idx="197">
                  <c:v>142.1</c:v>
                </c:pt>
                <c:pt idx="198">
                  <c:v>142.1</c:v>
                </c:pt>
                <c:pt idx="199">
                  <c:v>142.1</c:v>
                </c:pt>
                <c:pt idx="200">
                  <c:v>142.2</c:v>
                </c:pt>
                <c:pt idx="201">
                  <c:v>142.2</c:v>
                </c:pt>
                <c:pt idx="202">
                  <c:v>142.2</c:v>
                </c:pt>
                <c:pt idx="203">
                  <c:v>142.3</c:v>
                </c:pt>
                <c:pt idx="204">
                  <c:v>142.3</c:v>
                </c:pt>
                <c:pt idx="205">
                  <c:v>142.3</c:v>
                </c:pt>
                <c:pt idx="206">
                  <c:v>142.4</c:v>
                </c:pt>
                <c:pt idx="207">
                  <c:v>142.4</c:v>
                </c:pt>
                <c:pt idx="208">
                  <c:v>142.4</c:v>
                </c:pt>
                <c:pt idx="209">
                  <c:v>142.5</c:v>
                </c:pt>
                <c:pt idx="210">
                  <c:v>142.2</c:v>
                </c:pt>
              </c:numCache>
            </c:numRef>
          </c:yVal>
          <c:smooth val="0"/>
        </c:ser>
        <c:ser>
          <c:idx val="12"/>
          <c:order val="12"/>
          <c:tx>
            <c:strRef>
              <c:f>入力!$V$10</c:f>
              <c:strCache>
                <c:ptCount val="1"/>
                <c:pt idx="0">
                  <c:v> 身長</c:v>
                </c:pt>
              </c:strCache>
            </c:strRef>
          </c:tx>
          <c:spPr>
            <a:ln w="25400">
              <a:noFill/>
            </a:ln>
          </c:spPr>
          <c:marker>
            <c:symbol val="circle"/>
            <c:size val="8"/>
            <c:spPr>
              <a:solidFill>
                <a:srgbClr val="FF0000"/>
              </a:solidFill>
              <a:ln w="19050">
                <a:solidFill>
                  <a:sysClr val="window" lastClr="FFFFFF"/>
                </a:solidFill>
              </a:ln>
            </c:spPr>
          </c:marker>
          <c:xVal>
            <c:numRef>
              <c:f>入力!$W$7:$W$156</c:f>
              <c:numCache>
                <c:formatCode>0.00_);[Red]\(0.00\)</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入力!$B$7:$B$156</c:f>
              <c:numCache>
                <c:formatCode>General</c:formatCode>
                <c:ptCount val="150"/>
              </c:numCache>
            </c:numRef>
          </c:yVal>
          <c:smooth val="0"/>
        </c:ser>
        <c:dLbls>
          <c:showLegendKey val="0"/>
          <c:showVal val="0"/>
          <c:showCatName val="0"/>
          <c:showSerName val="0"/>
          <c:showPercent val="0"/>
          <c:showBubbleSize val="0"/>
        </c:dLbls>
        <c:axId val="-880084288"/>
        <c:axId val="-880077200"/>
      </c:scatterChart>
      <c:scatterChart>
        <c:scatterStyle val="lineMarker"/>
        <c:varyColors val="0"/>
        <c:ser>
          <c:idx val="7"/>
          <c:order val="7"/>
          <c:tx>
            <c:strRef>
              <c:f>成長曲線_データ!$W$2</c:f>
              <c:strCache>
                <c:ptCount val="1"/>
                <c:pt idx="0">
                  <c:v>成長速度</c:v>
                </c:pt>
              </c:strCache>
            </c:strRef>
          </c:tx>
          <c:spPr>
            <a:ln>
              <a:solidFill>
                <a:schemeClr val="tx1"/>
              </a:solidFill>
            </a:ln>
          </c:spPr>
          <c:marker>
            <c:symbol val="none"/>
          </c:marker>
          <c:xVal>
            <c:numRef>
              <c:f>成長曲線_データ!$V$4:$V$73</c:f>
              <c:numCache>
                <c:formatCode>General</c:formatCode>
                <c:ptCount val="70"/>
                <c:pt idx="0">
                  <c:v>0.0</c:v>
                </c:pt>
                <c:pt idx="1">
                  <c:v>0.25</c:v>
                </c:pt>
                <c:pt idx="2">
                  <c:v>0.5</c:v>
                </c:pt>
                <c:pt idx="3">
                  <c:v>0.75</c:v>
                </c:pt>
                <c:pt idx="4">
                  <c:v>1.0</c:v>
                </c:pt>
                <c:pt idx="5">
                  <c:v>1.25</c:v>
                </c:pt>
                <c:pt idx="6">
                  <c:v>1.5</c:v>
                </c:pt>
                <c:pt idx="7">
                  <c:v>1.75</c:v>
                </c:pt>
                <c:pt idx="8">
                  <c:v>2.0</c:v>
                </c:pt>
                <c:pt idx="9">
                  <c:v>2.25</c:v>
                </c:pt>
                <c:pt idx="10">
                  <c:v>2.5</c:v>
                </c:pt>
                <c:pt idx="11">
                  <c:v>2.75</c:v>
                </c:pt>
                <c:pt idx="12">
                  <c:v>3.0</c:v>
                </c:pt>
                <c:pt idx="13">
                  <c:v>3.25</c:v>
                </c:pt>
                <c:pt idx="14">
                  <c:v>3.5</c:v>
                </c:pt>
                <c:pt idx="15">
                  <c:v>3.75</c:v>
                </c:pt>
                <c:pt idx="16">
                  <c:v>4.0</c:v>
                </c:pt>
                <c:pt idx="17">
                  <c:v>4.25</c:v>
                </c:pt>
                <c:pt idx="18">
                  <c:v>4.5</c:v>
                </c:pt>
                <c:pt idx="19">
                  <c:v>4.75</c:v>
                </c:pt>
                <c:pt idx="20">
                  <c:v>5.0</c:v>
                </c:pt>
                <c:pt idx="21">
                  <c:v>5.25</c:v>
                </c:pt>
                <c:pt idx="22">
                  <c:v>5.5</c:v>
                </c:pt>
                <c:pt idx="23">
                  <c:v>5.75</c:v>
                </c:pt>
                <c:pt idx="24">
                  <c:v>6.0</c:v>
                </c:pt>
                <c:pt idx="25">
                  <c:v>6.25</c:v>
                </c:pt>
                <c:pt idx="26">
                  <c:v>6.5</c:v>
                </c:pt>
                <c:pt idx="27">
                  <c:v>6.75</c:v>
                </c:pt>
                <c:pt idx="28">
                  <c:v>7.0</c:v>
                </c:pt>
                <c:pt idx="29">
                  <c:v>7.25</c:v>
                </c:pt>
                <c:pt idx="30">
                  <c:v>7.5</c:v>
                </c:pt>
                <c:pt idx="31">
                  <c:v>7.75</c:v>
                </c:pt>
                <c:pt idx="32">
                  <c:v>8.0</c:v>
                </c:pt>
                <c:pt idx="33">
                  <c:v>8.25</c:v>
                </c:pt>
                <c:pt idx="34">
                  <c:v>8.5</c:v>
                </c:pt>
                <c:pt idx="35">
                  <c:v>8.75</c:v>
                </c:pt>
                <c:pt idx="36">
                  <c:v>9.0</c:v>
                </c:pt>
                <c:pt idx="37">
                  <c:v>9.25</c:v>
                </c:pt>
                <c:pt idx="38">
                  <c:v>9.5</c:v>
                </c:pt>
                <c:pt idx="39">
                  <c:v>9.75</c:v>
                </c:pt>
                <c:pt idx="40">
                  <c:v>10.0</c:v>
                </c:pt>
                <c:pt idx="41">
                  <c:v>10.25</c:v>
                </c:pt>
                <c:pt idx="42">
                  <c:v>10.5</c:v>
                </c:pt>
                <c:pt idx="43">
                  <c:v>10.75</c:v>
                </c:pt>
                <c:pt idx="44">
                  <c:v>11.0</c:v>
                </c:pt>
                <c:pt idx="45">
                  <c:v>11.25</c:v>
                </c:pt>
                <c:pt idx="46">
                  <c:v>11.5</c:v>
                </c:pt>
                <c:pt idx="47">
                  <c:v>11.75</c:v>
                </c:pt>
                <c:pt idx="48">
                  <c:v>12.0</c:v>
                </c:pt>
                <c:pt idx="49">
                  <c:v>12.25</c:v>
                </c:pt>
                <c:pt idx="50">
                  <c:v>12.5</c:v>
                </c:pt>
                <c:pt idx="51">
                  <c:v>12.75</c:v>
                </c:pt>
                <c:pt idx="52">
                  <c:v>13.0</c:v>
                </c:pt>
                <c:pt idx="53">
                  <c:v>13.25</c:v>
                </c:pt>
                <c:pt idx="54">
                  <c:v>13.5</c:v>
                </c:pt>
                <c:pt idx="55">
                  <c:v>13.75</c:v>
                </c:pt>
                <c:pt idx="56">
                  <c:v>14.0</c:v>
                </c:pt>
                <c:pt idx="57">
                  <c:v>14.25</c:v>
                </c:pt>
                <c:pt idx="58">
                  <c:v>14.5</c:v>
                </c:pt>
                <c:pt idx="59">
                  <c:v>14.75</c:v>
                </c:pt>
                <c:pt idx="60">
                  <c:v>15.0</c:v>
                </c:pt>
                <c:pt idx="61">
                  <c:v>15.25</c:v>
                </c:pt>
                <c:pt idx="62">
                  <c:v>15.5</c:v>
                </c:pt>
                <c:pt idx="63">
                  <c:v>15.75</c:v>
                </c:pt>
                <c:pt idx="64">
                  <c:v>16.0</c:v>
                </c:pt>
                <c:pt idx="65">
                  <c:v>16.25</c:v>
                </c:pt>
                <c:pt idx="66">
                  <c:v>16.5</c:v>
                </c:pt>
                <c:pt idx="67">
                  <c:v>16.75</c:v>
                </c:pt>
                <c:pt idx="68">
                  <c:v>17.0</c:v>
                </c:pt>
                <c:pt idx="69">
                  <c:v>17.25</c:v>
                </c:pt>
              </c:numCache>
            </c:numRef>
          </c:xVal>
          <c:yVal>
            <c:numRef>
              <c:f>成長曲線_データ!$W$4:$W$73</c:f>
              <c:numCache>
                <c:formatCode>General</c:formatCode>
                <c:ptCount val="70"/>
                <c:pt idx="2">
                  <c:v>25.0</c:v>
                </c:pt>
                <c:pt idx="3">
                  <c:v>17.8</c:v>
                </c:pt>
                <c:pt idx="4">
                  <c:v>13.4</c:v>
                </c:pt>
                <c:pt idx="5">
                  <c:v>11.6</c:v>
                </c:pt>
                <c:pt idx="6">
                  <c:v>10.3</c:v>
                </c:pt>
                <c:pt idx="7">
                  <c:v>9.4</c:v>
                </c:pt>
                <c:pt idx="8">
                  <c:v>8.8</c:v>
                </c:pt>
                <c:pt idx="9">
                  <c:v>8.4</c:v>
                </c:pt>
                <c:pt idx="10">
                  <c:v>8.0</c:v>
                </c:pt>
                <c:pt idx="11">
                  <c:v>7.7</c:v>
                </c:pt>
                <c:pt idx="12">
                  <c:v>7.4</c:v>
                </c:pt>
                <c:pt idx="13">
                  <c:v>7.2</c:v>
                </c:pt>
                <c:pt idx="14">
                  <c:v>7.1</c:v>
                </c:pt>
                <c:pt idx="15">
                  <c:v>7.0</c:v>
                </c:pt>
                <c:pt idx="16">
                  <c:v>6.9</c:v>
                </c:pt>
                <c:pt idx="17">
                  <c:v>6.8</c:v>
                </c:pt>
                <c:pt idx="18">
                  <c:v>6.7</c:v>
                </c:pt>
                <c:pt idx="19">
                  <c:v>6.6</c:v>
                </c:pt>
                <c:pt idx="20">
                  <c:v>6.5</c:v>
                </c:pt>
                <c:pt idx="21">
                  <c:v>6.4</c:v>
                </c:pt>
                <c:pt idx="22">
                  <c:v>6.3</c:v>
                </c:pt>
                <c:pt idx="23">
                  <c:v>6.3</c:v>
                </c:pt>
                <c:pt idx="24">
                  <c:v>6.1</c:v>
                </c:pt>
                <c:pt idx="25">
                  <c:v>6.1</c:v>
                </c:pt>
                <c:pt idx="26">
                  <c:v>5.9</c:v>
                </c:pt>
                <c:pt idx="27">
                  <c:v>5.8</c:v>
                </c:pt>
                <c:pt idx="28">
                  <c:v>5.7</c:v>
                </c:pt>
                <c:pt idx="29">
                  <c:v>5.6</c:v>
                </c:pt>
                <c:pt idx="30">
                  <c:v>5.5</c:v>
                </c:pt>
                <c:pt idx="31">
                  <c:v>5.4</c:v>
                </c:pt>
                <c:pt idx="32">
                  <c:v>5.4</c:v>
                </c:pt>
                <c:pt idx="33">
                  <c:v>5.3</c:v>
                </c:pt>
                <c:pt idx="34">
                  <c:v>5.3</c:v>
                </c:pt>
                <c:pt idx="35">
                  <c:v>5.3</c:v>
                </c:pt>
                <c:pt idx="36">
                  <c:v>5.4</c:v>
                </c:pt>
                <c:pt idx="37">
                  <c:v>5.4</c:v>
                </c:pt>
                <c:pt idx="38">
                  <c:v>5.6</c:v>
                </c:pt>
                <c:pt idx="39">
                  <c:v>5.9</c:v>
                </c:pt>
                <c:pt idx="40">
                  <c:v>6.3</c:v>
                </c:pt>
                <c:pt idx="41">
                  <c:v>6.7</c:v>
                </c:pt>
                <c:pt idx="42">
                  <c:v>7.3</c:v>
                </c:pt>
                <c:pt idx="43">
                  <c:v>7.9</c:v>
                </c:pt>
                <c:pt idx="44">
                  <c:v>8.3</c:v>
                </c:pt>
                <c:pt idx="45">
                  <c:v>8.0</c:v>
                </c:pt>
                <c:pt idx="46">
                  <c:v>7.4</c:v>
                </c:pt>
                <c:pt idx="47">
                  <c:v>6.7</c:v>
                </c:pt>
                <c:pt idx="48">
                  <c:v>5.8</c:v>
                </c:pt>
                <c:pt idx="49">
                  <c:v>5.0</c:v>
                </c:pt>
                <c:pt idx="50">
                  <c:v>4.2</c:v>
                </c:pt>
                <c:pt idx="51">
                  <c:v>3.5</c:v>
                </c:pt>
                <c:pt idx="52">
                  <c:v>3.0</c:v>
                </c:pt>
                <c:pt idx="53">
                  <c:v>2.5</c:v>
                </c:pt>
                <c:pt idx="54">
                  <c:v>2.2</c:v>
                </c:pt>
                <c:pt idx="55">
                  <c:v>1.8</c:v>
                </c:pt>
                <c:pt idx="56">
                  <c:v>1.5</c:v>
                </c:pt>
                <c:pt idx="57">
                  <c:v>1.3</c:v>
                </c:pt>
                <c:pt idx="58">
                  <c:v>1.1</c:v>
                </c:pt>
                <c:pt idx="59">
                  <c:v>0.9</c:v>
                </c:pt>
                <c:pt idx="60">
                  <c:v>0.8</c:v>
                </c:pt>
                <c:pt idx="61">
                  <c:v>0.7</c:v>
                </c:pt>
                <c:pt idx="62">
                  <c:v>0.5</c:v>
                </c:pt>
                <c:pt idx="63">
                  <c:v>0.4</c:v>
                </c:pt>
                <c:pt idx="64">
                  <c:v>0.4</c:v>
                </c:pt>
                <c:pt idx="65">
                  <c:v>0.3</c:v>
                </c:pt>
                <c:pt idx="66">
                  <c:v>0.2</c:v>
                </c:pt>
                <c:pt idx="67">
                  <c:v>0.2</c:v>
                </c:pt>
                <c:pt idx="68">
                  <c:v>0.1</c:v>
                </c:pt>
                <c:pt idx="69">
                  <c:v>0.1</c:v>
                </c:pt>
              </c:numCache>
            </c:numRef>
          </c:yVal>
          <c:smooth val="0"/>
        </c:ser>
        <c:ser>
          <c:idx val="8"/>
          <c:order val="8"/>
          <c:tx>
            <c:strRef>
              <c:f>成長曲線_データ!$Y$2</c:f>
              <c:strCache>
                <c:ptCount val="1"/>
                <c:pt idx="0">
                  <c:v>+2SD</c:v>
                </c:pt>
              </c:strCache>
            </c:strRef>
          </c:tx>
          <c:spPr>
            <a:ln w="12700">
              <a:solidFill>
                <a:sysClr val="windowText" lastClr="000000"/>
              </a:solidFill>
            </a:ln>
          </c:spPr>
          <c:marker>
            <c:symbol val="none"/>
          </c:marker>
          <c:xVal>
            <c:numRef>
              <c:f>成長曲線_データ!$V$8:$V$73</c:f>
              <c:numCache>
                <c:formatCode>General</c:formatCode>
                <c:ptCount val="66"/>
                <c:pt idx="0">
                  <c:v>1.0</c:v>
                </c:pt>
                <c:pt idx="1">
                  <c:v>1.25</c:v>
                </c:pt>
                <c:pt idx="2">
                  <c:v>1.5</c:v>
                </c:pt>
                <c:pt idx="3">
                  <c:v>1.75</c:v>
                </c:pt>
                <c:pt idx="4">
                  <c:v>2.0</c:v>
                </c:pt>
                <c:pt idx="5">
                  <c:v>2.25</c:v>
                </c:pt>
                <c:pt idx="6">
                  <c:v>2.5</c:v>
                </c:pt>
                <c:pt idx="7">
                  <c:v>2.75</c:v>
                </c:pt>
                <c:pt idx="8">
                  <c:v>3.0</c:v>
                </c:pt>
                <c:pt idx="9">
                  <c:v>3.25</c:v>
                </c:pt>
                <c:pt idx="10">
                  <c:v>3.5</c:v>
                </c:pt>
                <c:pt idx="11">
                  <c:v>3.75</c:v>
                </c:pt>
                <c:pt idx="12">
                  <c:v>4.0</c:v>
                </c:pt>
                <c:pt idx="13">
                  <c:v>4.25</c:v>
                </c:pt>
                <c:pt idx="14">
                  <c:v>4.5</c:v>
                </c:pt>
                <c:pt idx="15">
                  <c:v>4.75</c:v>
                </c:pt>
                <c:pt idx="16">
                  <c:v>5.0</c:v>
                </c:pt>
                <c:pt idx="17">
                  <c:v>5.25</c:v>
                </c:pt>
                <c:pt idx="18">
                  <c:v>5.5</c:v>
                </c:pt>
                <c:pt idx="19">
                  <c:v>5.75</c:v>
                </c:pt>
                <c:pt idx="20">
                  <c:v>6.0</c:v>
                </c:pt>
                <c:pt idx="21">
                  <c:v>6.25</c:v>
                </c:pt>
                <c:pt idx="22">
                  <c:v>6.5</c:v>
                </c:pt>
                <c:pt idx="23">
                  <c:v>6.75</c:v>
                </c:pt>
                <c:pt idx="24">
                  <c:v>7.0</c:v>
                </c:pt>
                <c:pt idx="25">
                  <c:v>7.25</c:v>
                </c:pt>
                <c:pt idx="26">
                  <c:v>7.5</c:v>
                </c:pt>
                <c:pt idx="27">
                  <c:v>7.75</c:v>
                </c:pt>
                <c:pt idx="28">
                  <c:v>8.0</c:v>
                </c:pt>
                <c:pt idx="29">
                  <c:v>8.25</c:v>
                </c:pt>
                <c:pt idx="30">
                  <c:v>8.5</c:v>
                </c:pt>
                <c:pt idx="31">
                  <c:v>8.75</c:v>
                </c:pt>
                <c:pt idx="32">
                  <c:v>9.0</c:v>
                </c:pt>
                <c:pt idx="33">
                  <c:v>9.25</c:v>
                </c:pt>
                <c:pt idx="34">
                  <c:v>9.5</c:v>
                </c:pt>
                <c:pt idx="35">
                  <c:v>9.75</c:v>
                </c:pt>
                <c:pt idx="36">
                  <c:v>10.0</c:v>
                </c:pt>
                <c:pt idx="37">
                  <c:v>10.25</c:v>
                </c:pt>
                <c:pt idx="38">
                  <c:v>10.5</c:v>
                </c:pt>
                <c:pt idx="39">
                  <c:v>10.75</c:v>
                </c:pt>
                <c:pt idx="40">
                  <c:v>11.0</c:v>
                </c:pt>
                <c:pt idx="41">
                  <c:v>11.25</c:v>
                </c:pt>
                <c:pt idx="42">
                  <c:v>11.5</c:v>
                </c:pt>
                <c:pt idx="43">
                  <c:v>11.75</c:v>
                </c:pt>
                <c:pt idx="44">
                  <c:v>12.0</c:v>
                </c:pt>
                <c:pt idx="45">
                  <c:v>12.25</c:v>
                </c:pt>
                <c:pt idx="46">
                  <c:v>12.5</c:v>
                </c:pt>
                <c:pt idx="47">
                  <c:v>12.75</c:v>
                </c:pt>
                <c:pt idx="48">
                  <c:v>13.0</c:v>
                </c:pt>
                <c:pt idx="49">
                  <c:v>13.25</c:v>
                </c:pt>
                <c:pt idx="50">
                  <c:v>13.5</c:v>
                </c:pt>
                <c:pt idx="51">
                  <c:v>13.75</c:v>
                </c:pt>
                <c:pt idx="52">
                  <c:v>14.0</c:v>
                </c:pt>
                <c:pt idx="53">
                  <c:v>14.25</c:v>
                </c:pt>
                <c:pt idx="54">
                  <c:v>14.5</c:v>
                </c:pt>
                <c:pt idx="55">
                  <c:v>14.75</c:v>
                </c:pt>
                <c:pt idx="56">
                  <c:v>15.0</c:v>
                </c:pt>
                <c:pt idx="57">
                  <c:v>15.25</c:v>
                </c:pt>
                <c:pt idx="58">
                  <c:v>15.5</c:v>
                </c:pt>
                <c:pt idx="59">
                  <c:v>15.75</c:v>
                </c:pt>
                <c:pt idx="60">
                  <c:v>16.0</c:v>
                </c:pt>
                <c:pt idx="61">
                  <c:v>16.25</c:v>
                </c:pt>
                <c:pt idx="62">
                  <c:v>16.5</c:v>
                </c:pt>
                <c:pt idx="63">
                  <c:v>16.75</c:v>
                </c:pt>
                <c:pt idx="64">
                  <c:v>17.0</c:v>
                </c:pt>
                <c:pt idx="65">
                  <c:v>17.25</c:v>
                </c:pt>
              </c:numCache>
            </c:numRef>
          </c:xVal>
          <c:yVal>
            <c:numRef>
              <c:f>成長曲線_データ!$Y$8:$Y$73</c:f>
              <c:numCache>
                <c:formatCode>General</c:formatCode>
                <c:ptCount val="66"/>
                <c:pt idx="0">
                  <c:v>16.2</c:v>
                </c:pt>
                <c:pt idx="1">
                  <c:v>13.8</c:v>
                </c:pt>
                <c:pt idx="2">
                  <c:v>12.3</c:v>
                </c:pt>
                <c:pt idx="3">
                  <c:v>11.2</c:v>
                </c:pt>
                <c:pt idx="4">
                  <c:v>10.4</c:v>
                </c:pt>
                <c:pt idx="5">
                  <c:v>10.0</c:v>
                </c:pt>
                <c:pt idx="6">
                  <c:v>9.6</c:v>
                </c:pt>
                <c:pt idx="7">
                  <c:v>9.3</c:v>
                </c:pt>
                <c:pt idx="8">
                  <c:v>9.0</c:v>
                </c:pt>
                <c:pt idx="9">
                  <c:v>8.8</c:v>
                </c:pt>
                <c:pt idx="10">
                  <c:v>8.7</c:v>
                </c:pt>
                <c:pt idx="11">
                  <c:v>8.4</c:v>
                </c:pt>
                <c:pt idx="12">
                  <c:v>8.3</c:v>
                </c:pt>
                <c:pt idx="13">
                  <c:v>8.2</c:v>
                </c:pt>
                <c:pt idx="14">
                  <c:v>8.1</c:v>
                </c:pt>
                <c:pt idx="15">
                  <c:v>8.0</c:v>
                </c:pt>
                <c:pt idx="16">
                  <c:v>7.9</c:v>
                </c:pt>
                <c:pt idx="17">
                  <c:v>7.800000000000001</c:v>
                </c:pt>
                <c:pt idx="18">
                  <c:v>7.699999999999999</c:v>
                </c:pt>
                <c:pt idx="19">
                  <c:v>7.699999999999999</c:v>
                </c:pt>
                <c:pt idx="20">
                  <c:v>7.5</c:v>
                </c:pt>
                <c:pt idx="21">
                  <c:v>7.5</c:v>
                </c:pt>
                <c:pt idx="22">
                  <c:v>7.300000000000001</c:v>
                </c:pt>
                <c:pt idx="23">
                  <c:v>7.199999999999999</c:v>
                </c:pt>
                <c:pt idx="24">
                  <c:v>7.1</c:v>
                </c:pt>
                <c:pt idx="25">
                  <c:v>7.0</c:v>
                </c:pt>
                <c:pt idx="26">
                  <c:v>6.9</c:v>
                </c:pt>
                <c:pt idx="27">
                  <c:v>7.0</c:v>
                </c:pt>
                <c:pt idx="28">
                  <c:v>7.0</c:v>
                </c:pt>
                <c:pt idx="29">
                  <c:v>6.9</c:v>
                </c:pt>
                <c:pt idx="30">
                  <c:v>6.9</c:v>
                </c:pt>
                <c:pt idx="31">
                  <c:v>6.9</c:v>
                </c:pt>
                <c:pt idx="32">
                  <c:v>7.0</c:v>
                </c:pt>
                <c:pt idx="33">
                  <c:v>7.0</c:v>
                </c:pt>
                <c:pt idx="34">
                  <c:v>7.199999999999999</c:v>
                </c:pt>
                <c:pt idx="35">
                  <c:v>7.5</c:v>
                </c:pt>
                <c:pt idx="36">
                  <c:v>7.9</c:v>
                </c:pt>
                <c:pt idx="37">
                  <c:v>8.3</c:v>
                </c:pt>
                <c:pt idx="38">
                  <c:v>9.1</c:v>
                </c:pt>
                <c:pt idx="39">
                  <c:v>9.9</c:v>
                </c:pt>
                <c:pt idx="40">
                  <c:v>10.5</c:v>
                </c:pt>
                <c:pt idx="41">
                  <c:v>10.0</c:v>
                </c:pt>
                <c:pt idx="42">
                  <c:v>9.200000000000001</c:v>
                </c:pt>
                <c:pt idx="43">
                  <c:v>8.3</c:v>
                </c:pt>
                <c:pt idx="44">
                  <c:v>7.4</c:v>
                </c:pt>
                <c:pt idx="45">
                  <c:v>6.8</c:v>
                </c:pt>
                <c:pt idx="46">
                  <c:v>6.0</c:v>
                </c:pt>
                <c:pt idx="47">
                  <c:v>5.3</c:v>
                </c:pt>
                <c:pt idx="48">
                  <c:v>4.8</c:v>
                </c:pt>
                <c:pt idx="49">
                  <c:v>4.1</c:v>
                </c:pt>
                <c:pt idx="50">
                  <c:v>3.6</c:v>
                </c:pt>
                <c:pt idx="51">
                  <c:v>3.2</c:v>
                </c:pt>
                <c:pt idx="52">
                  <c:v>2.7</c:v>
                </c:pt>
                <c:pt idx="53">
                  <c:v>2.5</c:v>
                </c:pt>
                <c:pt idx="54">
                  <c:v>2.1</c:v>
                </c:pt>
                <c:pt idx="55">
                  <c:v>1.9</c:v>
                </c:pt>
                <c:pt idx="56">
                  <c:v>1.6</c:v>
                </c:pt>
                <c:pt idx="57">
                  <c:v>1.5</c:v>
                </c:pt>
                <c:pt idx="58">
                  <c:v>1.3</c:v>
                </c:pt>
                <c:pt idx="59">
                  <c:v>1.2</c:v>
                </c:pt>
                <c:pt idx="60">
                  <c:v>1.2</c:v>
                </c:pt>
                <c:pt idx="61">
                  <c:v>1.1</c:v>
                </c:pt>
                <c:pt idx="62">
                  <c:v>0.8</c:v>
                </c:pt>
                <c:pt idx="63">
                  <c:v>0.8</c:v>
                </c:pt>
                <c:pt idx="64">
                  <c:v>0.5</c:v>
                </c:pt>
                <c:pt idx="65">
                  <c:v>0.5</c:v>
                </c:pt>
              </c:numCache>
            </c:numRef>
          </c:yVal>
          <c:smooth val="0"/>
        </c:ser>
        <c:ser>
          <c:idx val="9"/>
          <c:order val="9"/>
          <c:tx>
            <c:strRef>
              <c:f>成長曲線_データ!$Z$2</c:f>
              <c:strCache>
                <c:ptCount val="1"/>
                <c:pt idx="0">
                  <c:v>+1SD</c:v>
                </c:pt>
              </c:strCache>
            </c:strRef>
          </c:tx>
          <c:spPr>
            <a:ln w="12700">
              <a:solidFill>
                <a:schemeClr val="tx1"/>
              </a:solidFill>
            </a:ln>
          </c:spPr>
          <c:marker>
            <c:symbol val="none"/>
          </c:marker>
          <c:xVal>
            <c:numRef>
              <c:f>成長曲線_データ!$V$8:$V$73</c:f>
              <c:numCache>
                <c:formatCode>General</c:formatCode>
                <c:ptCount val="66"/>
                <c:pt idx="0">
                  <c:v>1.0</c:v>
                </c:pt>
                <c:pt idx="1">
                  <c:v>1.25</c:v>
                </c:pt>
                <c:pt idx="2">
                  <c:v>1.5</c:v>
                </c:pt>
                <c:pt idx="3">
                  <c:v>1.75</c:v>
                </c:pt>
                <c:pt idx="4">
                  <c:v>2.0</c:v>
                </c:pt>
                <c:pt idx="5">
                  <c:v>2.25</c:v>
                </c:pt>
                <c:pt idx="6">
                  <c:v>2.5</c:v>
                </c:pt>
                <c:pt idx="7">
                  <c:v>2.75</c:v>
                </c:pt>
                <c:pt idx="8">
                  <c:v>3.0</c:v>
                </c:pt>
                <c:pt idx="9">
                  <c:v>3.25</c:v>
                </c:pt>
                <c:pt idx="10">
                  <c:v>3.5</c:v>
                </c:pt>
                <c:pt idx="11">
                  <c:v>3.75</c:v>
                </c:pt>
                <c:pt idx="12">
                  <c:v>4.0</c:v>
                </c:pt>
                <c:pt idx="13">
                  <c:v>4.25</c:v>
                </c:pt>
                <c:pt idx="14">
                  <c:v>4.5</c:v>
                </c:pt>
                <c:pt idx="15">
                  <c:v>4.75</c:v>
                </c:pt>
                <c:pt idx="16">
                  <c:v>5.0</c:v>
                </c:pt>
                <c:pt idx="17">
                  <c:v>5.25</c:v>
                </c:pt>
                <c:pt idx="18">
                  <c:v>5.5</c:v>
                </c:pt>
                <c:pt idx="19">
                  <c:v>5.75</c:v>
                </c:pt>
                <c:pt idx="20">
                  <c:v>6.0</c:v>
                </c:pt>
                <c:pt idx="21">
                  <c:v>6.25</c:v>
                </c:pt>
                <c:pt idx="22">
                  <c:v>6.5</c:v>
                </c:pt>
                <c:pt idx="23">
                  <c:v>6.75</c:v>
                </c:pt>
                <c:pt idx="24">
                  <c:v>7.0</c:v>
                </c:pt>
                <c:pt idx="25">
                  <c:v>7.25</c:v>
                </c:pt>
                <c:pt idx="26">
                  <c:v>7.5</c:v>
                </c:pt>
                <c:pt idx="27">
                  <c:v>7.75</c:v>
                </c:pt>
                <c:pt idx="28">
                  <c:v>8.0</c:v>
                </c:pt>
                <c:pt idx="29">
                  <c:v>8.25</c:v>
                </c:pt>
                <c:pt idx="30">
                  <c:v>8.5</c:v>
                </c:pt>
                <c:pt idx="31">
                  <c:v>8.75</c:v>
                </c:pt>
                <c:pt idx="32">
                  <c:v>9.0</c:v>
                </c:pt>
                <c:pt idx="33">
                  <c:v>9.25</c:v>
                </c:pt>
                <c:pt idx="34">
                  <c:v>9.5</c:v>
                </c:pt>
                <c:pt idx="35">
                  <c:v>9.75</c:v>
                </c:pt>
                <c:pt idx="36">
                  <c:v>10.0</c:v>
                </c:pt>
                <c:pt idx="37">
                  <c:v>10.25</c:v>
                </c:pt>
                <c:pt idx="38">
                  <c:v>10.5</c:v>
                </c:pt>
                <c:pt idx="39">
                  <c:v>10.75</c:v>
                </c:pt>
                <c:pt idx="40">
                  <c:v>11.0</c:v>
                </c:pt>
                <c:pt idx="41">
                  <c:v>11.25</c:v>
                </c:pt>
                <c:pt idx="42">
                  <c:v>11.5</c:v>
                </c:pt>
                <c:pt idx="43">
                  <c:v>11.75</c:v>
                </c:pt>
                <c:pt idx="44">
                  <c:v>12.0</c:v>
                </c:pt>
                <c:pt idx="45">
                  <c:v>12.25</c:v>
                </c:pt>
                <c:pt idx="46">
                  <c:v>12.5</c:v>
                </c:pt>
                <c:pt idx="47">
                  <c:v>12.75</c:v>
                </c:pt>
                <c:pt idx="48">
                  <c:v>13.0</c:v>
                </c:pt>
                <c:pt idx="49">
                  <c:v>13.25</c:v>
                </c:pt>
                <c:pt idx="50">
                  <c:v>13.5</c:v>
                </c:pt>
                <c:pt idx="51">
                  <c:v>13.75</c:v>
                </c:pt>
                <c:pt idx="52">
                  <c:v>14.0</c:v>
                </c:pt>
                <c:pt idx="53">
                  <c:v>14.25</c:v>
                </c:pt>
                <c:pt idx="54">
                  <c:v>14.5</c:v>
                </c:pt>
                <c:pt idx="55">
                  <c:v>14.75</c:v>
                </c:pt>
                <c:pt idx="56">
                  <c:v>15.0</c:v>
                </c:pt>
                <c:pt idx="57">
                  <c:v>15.25</c:v>
                </c:pt>
                <c:pt idx="58">
                  <c:v>15.5</c:v>
                </c:pt>
                <c:pt idx="59">
                  <c:v>15.75</c:v>
                </c:pt>
                <c:pt idx="60">
                  <c:v>16.0</c:v>
                </c:pt>
                <c:pt idx="61">
                  <c:v>16.25</c:v>
                </c:pt>
                <c:pt idx="62">
                  <c:v>16.5</c:v>
                </c:pt>
                <c:pt idx="63">
                  <c:v>16.75</c:v>
                </c:pt>
                <c:pt idx="64">
                  <c:v>17.0</c:v>
                </c:pt>
                <c:pt idx="65">
                  <c:v>17.25</c:v>
                </c:pt>
              </c:numCache>
            </c:numRef>
          </c:xVal>
          <c:yVal>
            <c:numRef>
              <c:f>成長曲線_データ!$Z$8:$Z$73</c:f>
              <c:numCache>
                <c:formatCode>General</c:formatCode>
                <c:ptCount val="66"/>
                <c:pt idx="0">
                  <c:v>14.8</c:v>
                </c:pt>
                <c:pt idx="1">
                  <c:v>12.7</c:v>
                </c:pt>
                <c:pt idx="2">
                  <c:v>11.3</c:v>
                </c:pt>
                <c:pt idx="3">
                  <c:v>10.3</c:v>
                </c:pt>
                <c:pt idx="4">
                  <c:v>9.600000000000001</c:v>
                </c:pt>
                <c:pt idx="5">
                  <c:v>9.200000000000001</c:v>
                </c:pt>
                <c:pt idx="6">
                  <c:v>8.8</c:v>
                </c:pt>
                <c:pt idx="7">
                  <c:v>8.5</c:v>
                </c:pt>
                <c:pt idx="8">
                  <c:v>8.200000000000001</c:v>
                </c:pt>
                <c:pt idx="9">
                  <c:v>8.0</c:v>
                </c:pt>
                <c:pt idx="10">
                  <c:v>7.899999999999999</c:v>
                </c:pt>
                <c:pt idx="11">
                  <c:v>7.7</c:v>
                </c:pt>
                <c:pt idx="12">
                  <c:v>7.6</c:v>
                </c:pt>
                <c:pt idx="13">
                  <c:v>7.5</c:v>
                </c:pt>
                <c:pt idx="14">
                  <c:v>7.4</c:v>
                </c:pt>
                <c:pt idx="15">
                  <c:v>7.3</c:v>
                </c:pt>
                <c:pt idx="16">
                  <c:v>7.2</c:v>
                </c:pt>
                <c:pt idx="17">
                  <c:v>7.100000000000001</c:v>
                </c:pt>
                <c:pt idx="18">
                  <c:v>7.0</c:v>
                </c:pt>
                <c:pt idx="19">
                  <c:v>7.0</c:v>
                </c:pt>
                <c:pt idx="20">
                  <c:v>6.8</c:v>
                </c:pt>
                <c:pt idx="21">
                  <c:v>6.8</c:v>
                </c:pt>
                <c:pt idx="22">
                  <c:v>6.6</c:v>
                </c:pt>
                <c:pt idx="23">
                  <c:v>6.5</c:v>
                </c:pt>
                <c:pt idx="24">
                  <c:v>6.4</c:v>
                </c:pt>
                <c:pt idx="25">
                  <c:v>6.3</c:v>
                </c:pt>
                <c:pt idx="26">
                  <c:v>6.2</c:v>
                </c:pt>
                <c:pt idx="27">
                  <c:v>6.2</c:v>
                </c:pt>
                <c:pt idx="28">
                  <c:v>6.2</c:v>
                </c:pt>
                <c:pt idx="29">
                  <c:v>6.1</c:v>
                </c:pt>
                <c:pt idx="30">
                  <c:v>6.1</c:v>
                </c:pt>
                <c:pt idx="31">
                  <c:v>6.1</c:v>
                </c:pt>
                <c:pt idx="32">
                  <c:v>6.2</c:v>
                </c:pt>
                <c:pt idx="33">
                  <c:v>6.2</c:v>
                </c:pt>
                <c:pt idx="34">
                  <c:v>6.399999999999999</c:v>
                </c:pt>
                <c:pt idx="35">
                  <c:v>6.7</c:v>
                </c:pt>
                <c:pt idx="36">
                  <c:v>7.1</c:v>
                </c:pt>
                <c:pt idx="37">
                  <c:v>7.5</c:v>
                </c:pt>
                <c:pt idx="38">
                  <c:v>8.2</c:v>
                </c:pt>
                <c:pt idx="39">
                  <c:v>8.9</c:v>
                </c:pt>
                <c:pt idx="40">
                  <c:v>9.4</c:v>
                </c:pt>
                <c:pt idx="41">
                  <c:v>9.0</c:v>
                </c:pt>
                <c:pt idx="42">
                  <c:v>8.3</c:v>
                </c:pt>
                <c:pt idx="43">
                  <c:v>7.5</c:v>
                </c:pt>
                <c:pt idx="44">
                  <c:v>6.6</c:v>
                </c:pt>
                <c:pt idx="45">
                  <c:v>5.9</c:v>
                </c:pt>
                <c:pt idx="46">
                  <c:v>5.100000000000001</c:v>
                </c:pt>
                <c:pt idx="47">
                  <c:v>4.4</c:v>
                </c:pt>
                <c:pt idx="48">
                  <c:v>3.9</c:v>
                </c:pt>
                <c:pt idx="49">
                  <c:v>3.3</c:v>
                </c:pt>
                <c:pt idx="50">
                  <c:v>2.9</c:v>
                </c:pt>
                <c:pt idx="51">
                  <c:v>2.5</c:v>
                </c:pt>
                <c:pt idx="52">
                  <c:v>2.1</c:v>
                </c:pt>
                <c:pt idx="53">
                  <c:v>1.9</c:v>
                </c:pt>
                <c:pt idx="54">
                  <c:v>1.6</c:v>
                </c:pt>
                <c:pt idx="55">
                  <c:v>1.4</c:v>
                </c:pt>
                <c:pt idx="56">
                  <c:v>1.2</c:v>
                </c:pt>
                <c:pt idx="57">
                  <c:v>1.1</c:v>
                </c:pt>
                <c:pt idx="58">
                  <c:v>0.9</c:v>
                </c:pt>
                <c:pt idx="59">
                  <c:v>0.8</c:v>
                </c:pt>
                <c:pt idx="60">
                  <c:v>0.8</c:v>
                </c:pt>
                <c:pt idx="61">
                  <c:v>0.7</c:v>
                </c:pt>
                <c:pt idx="62">
                  <c:v>0.5</c:v>
                </c:pt>
                <c:pt idx="63">
                  <c:v>0.5</c:v>
                </c:pt>
                <c:pt idx="64">
                  <c:v>0.3</c:v>
                </c:pt>
                <c:pt idx="65">
                  <c:v>0.3</c:v>
                </c:pt>
              </c:numCache>
            </c:numRef>
          </c:yVal>
          <c:smooth val="0"/>
        </c:ser>
        <c:ser>
          <c:idx val="10"/>
          <c:order val="10"/>
          <c:tx>
            <c:strRef>
              <c:f>成長曲線_データ!$AA$2</c:f>
              <c:strCache>
                <c:ptCount val="1"/>
                <c:pt idx="0">
                  <c:v>-1SD</c:v>
                </c:pt>
              </c:strCache>
            </c:strRef>
          </c:tx>
          <c:spPr>
            <a:ln w="12700">
              <a:solidFill>
                <a:schemeClr val="tx1"/>
              </a:solidFill>
            </a:ln>
          </c:spPr>
          <c:marker>
            <c:symbol val="none"/>
          </c:marker>
          <c:xVal>
            <c:numRef>
              <c:f>成長曲線_データ!$V$8:$V$73</c:f>
              <c:numCache>
                <c:formatCode>General</c:formatCode>
                <c:ptCount val="66"/>
                <c:pt idx="0">
                  <c:v>1.0</c:v>
                </c:pt>
                <c:pt idx="1">
                  <c:v>1.25</c:v>
                </c:pt>
                <c:pt idx="2">
                  <c:v>1.5</c:v>
                </c:pt>
                <c:pt idx="3">
                  <c:v>1.75</c:v>
                </c:pt>
                <c:pt idx="4">
                  <c:v>2.0</c:v>
                </c:pt>
                <c:pt idx="5">
                  <c:v>2.25</c:v>
                </c:pt>
                <c:pt idx="6">
                  <c:v>2.5</c:v>
                </c:pt>
                <c:pt idx="7">
                  <c:v>2.75</c:v>
                </c:pt>
                <c:pt idx="8">
                  <c:v>3.0</c:v>
                </c:pt>
                <c:pt idx="9">
                  <c:v>3.25</c:v>
                </c:pt>
                <c:pt idx="10">
                  <c:v>3.5</c:v>
                </c:pt>
                <c:pt idx="11">
                  <c:v>3.75</c:v>
                </c:pt>
                <c:pt idx="12">
                  <c:v>4.0</c:v>
                </c:pt>
                <c:pt idx="13">
                  <c:v>4.25</c:v>
                </c:pt>
                <c:pt idx="14">
                  <c:v>4.5</c:v>
                </c:pt>
                <c:pt idx="15">
                  <c:v>4.75</c:v>
                </c:pt>
                <c:pt idx="16">
                  <c:v>5.0</c:v>
                </c:pt>
                <c:pt idx="17">
                  <c:v>5.25</c:v>
                </c:pt>
                <c:pt idx="18">
                  <c:v>5.5</c:v>
                </c:pt>
                <c:pt idx="19">
                  <c:v>5.75</c:v>
                </c:pt>
                <c:pt idx="20">
                  <c:v>6.0</c:v>
                </c:pt>
                <c:pt idx="21">
                  <c:v>6.25</c:v>
                </c:pt>
                <c:pt idx="22">
                  <c:v>6.5</c:v>
                </c:pt>
                <c:pt idx="23">
                  <c:v>6.75</c:v>
                </c:pt>
                <c:pt idx="24">
                  <c:v>7.0</c:v>
                </c:pt>
                <c:pt idx="25">
                  <c:v>7.25</c:v>
                </c:pt>
                <c:pt idx="26">
                  <c:v>7.5</c:v>
                </c:pt>
                <c:pt idx="27">
                  <c:v>7.75</c:v>
                </c:pt>
                <c:pt idx="28">
                  <c:v>8.0</c:v>
                </c:pt>
                <c:pt idx="29">
                  <c:v>8.25</c:v>
                </c:pt>
                <c:pt idx="30">
                  <c:v>8.5</c:v>
                </c:pt>
                <c:pt idx="31">
                  <c:v>8.75</c:v>
                </c:pt>
                <c:pt idx="32">
                  <c:v>9.0</c:v>
                </c:pt>
                <c:pt idx="33">
                  <c:v>9.25</c:v>
                </c:pt>
                <c:pt idx="34">
                  <c:v>9.5</c:v>
                </c:pt>
                <c:pt idx="35">
                  <c:v>9.75</c:v>
                </c:pt>
                <c:pt idx="36">
                  <c:v>10.0</c:v>
                </c:pt>
                <c:pt idx="37">
                  <c:v>10.25</c:v>
                </c:pt>
                <c:pt idx="38">
                  <c:v>10.5</c:v>
                </c:pt>
                <c:pt idx="39">
                  <c:v>10.75</c:v>
                </c:pt>
                <c:pt idx="40">
                  <c:v>11.0</c:v>
                </c:pt>
                <c:pt idx="41">
                  <c:v>11.25</c:v>
                </c:pt>
                <c:pt idx="42">
                  <c:v>11.5</c:v>
                </c:pt>
                <c:pt idx="43">
                  <c:v>11.75</c:v>
                </c:pt>
                <c:pt idx="44">
                  <c:v>12.0</c:v>
                </c:pt>
                <c:pt idx="45">
                  <c:v>12.25</c:v>
                </c:pt>
                <c:pt idx="46">
                  <c:v>12.5</c:v>
                </c:pt>
                <c:pt idx="47">
                  <c:v>12.75</c:v>
                </c:pt>
                <c:pt idx="48">
                  <c:v>13.0</c:v>
                </c:pt>
                <c:pt idx="49">
                  <c:v>13.25</c:v>
                </c:pt>
                <c:pt idx="50">
                  <c:v>13.5</c:v>
                </c:pt>
                <c:pt idx="51">
                  <c:v>13.75</c:v>
                </c:pt>
                <c:pt idx="52">
                  <c:v>14.0</c:v>
                </c:pt>
                <c:pt idx="53">
                  <c:v>14.25</c:v>
                </c:pt>
                <c:pt idx="54">
                  <c:v>14.5</c:v>
                </c:pt>
                <c:pt idx="55">
                  <c:v>14.75</c:v>
                </c:pt>
                <c:pt idx="56">
                  <c:v>15.0</c:v>
                </c:pt>
                <c:pt idx="57">
                  <c:v>15.25</c:v>
                </c:pt>
                <c:pt idx="58">
                  <c:v>15.5</c:v>
                </c:pt>
                <c:pt idx="59">
                  <c:v>15.75</c:v>
                </c:pt>
                <c:pt idx="60">
                  <c:v>16.0</c:v>
                </c:pt>
                <c:pt idx="61">
                  <c:v>16.25</c:v>
                </c:pt>
                <c:pt idx="62">
                  <c:v>16.5</c:v>
                </c:pt>
                <c:pt idx="63">
                  <c:v>16.75</c:v>
                </c:pt>
                <c:pt idx="64">
                  <c:v>17.0</c:v>
                </c:pt>
                <c:pt idx="65">
                  <c:v>17.25</c:v>
                </c:pt>
              </c:numCache>
            </c:numRef>
          </c:xVal>
          <c:yVal>
            <c:numRef>
              <c:f>成長曲線_データ!$AA$8:$AA$73</c:f>
              <c:numCache>
                <c:formatCode>General</c:formatCode>
                <c:ptCount val="66"/>
                <c:pt idx="0">
                  <c:v>12.0</c:v>
                </c:pt>
                <c:pt idx="1">
                  <c:v>10.5</c:v>
                </c:pt>
                <c:pt idx="2">
                  <c:v>9.3</c:v>
                </c:pt>
                <c:pt idx="3">
                  <c:v>8.5</c:v>
                </c:pt>
                <c:pt idx="4">
                  <c:v>8.0</c:v>
                </c:pt>
                <c:pt idx="5">
                  <c:v>7.6</c:v>
                </c:pt>
                <c:pt idx="6">
                  <c:v>7.2</c:v>
                </c:pt>
                <c:pt idx="7">
                  <c:v>6.9</c:v>
                </c:pt>
                <c:pt idx="8">
                  <c:v>6.6</c:v>
                </c:pt>
                <c:pt idx="9">
                  <c:v>6.4</c:v>
                </c:pt>
                <c:pt idx="10">
                  <c:v>6.3</c:v>
                </c:pt>
                <c:pt idx="11">
                  <c:v>6.3</c:v>
                </c:pt>
                <c:pt idx="12">
                  <c:v>6.2</c:v>
                </c:pt>
                <c:pt idx="13">
                  <c:v>6.1</c:v>
                </c:pt>
                <c:pt idx="14">
                  <c:v>6.0</c:v>
                </c:pt>
                <c:pt idx="15">
                  <c:v>5.899999999999999</c:v>
                </c:pt>
                <c:pt idx="16">
                  <c:v>5.8</c:v>
                </c:pt>
                <c:pt idx="17">
                  <c:v>5.7</c:v>
                </c:pt>
                <c:pt idx="18">
                  <c:v>5.6</c:v>
                </c:pt>
                <c:pt idx="19">
                  <c:v>5.6</c:v>
                </c:pt>
                <c:pt idx="20">
                  <c:v>5.399999999999999</c:v>
                </c:pt>
                <c:pt idx="21">
                  <c:v>5.399999999999999</c:v>
                </c:pt>
                <c:pt idx="22">
                  <c:v>5.2</c:v>
                </c:pt>
                <c:pt idx="23">
                  <c:v>5.1</c:v>
                </c:pt>
                <c:pt idx="24">
                  <c:v>5.0</c:v>
                </c:pt>
                <c:pt idx="25">
                  <c:v>4.899999999999999</c:v>
                </c:pt>
                <c:pt idx="26">
                  <c:v>4.8</c:v>
                </c:pt>
                <c:pt idx="27">
                  <c:v>4.6</c:v>
                </c:pt>
                <c:pt idx="28">
                  <c:v>4.6</c:v>
                </c:pt>
                <c:pt idx="29">
                  <c:v>4.5</c:v>
                </c:pt>
                <c:pt idx="30">
                  <c:v>4.5</c:v>
                </c:pt>
                <c:pt idx="31">
                  <c:v>4.5</c:v>
                </c:pt>
                <c:pt idx="32">
                  <c:v>4.6</c:v>
                </c:pt>
                <c:pt idx="33">
                  <c:v>4.6</c:v>
                </c:pt>
                <c:pt idx="34">
                  <c:v>4.8</c:v>
                </c:pt>
                <c:pt idx="35">
                  <c:v>5.100000000000001</c:v>
                </c:pt>
                <c:pt idx="36">
                  <c:v>5.5</c:v>
                </c:pt>
                <c:pt idx="37">
                  <c:v>5.9</c:v>
                </c:pt>
                <c:pt idx="38">
                  <c:v>6.399999999999999</c:v>
                </c:pt>
                <c:pt idx="39">
                  <c:v>6.9</c:v>
                </c:pt>
                <c:pt idx="40">
                  <c:v>7.200000000000001</c:v>
                </c:pt>
                <c:pt idx="41">
                  <c:v>7.0</c:v>
                </c:pt>
                <c:pt idx="42">
                  <c:v>6.5</c:v>
                </c:pt>
                <c:pt idx="43">
                  <c:v>5.9</c:v>
                </c:pt>
                <c:pt idx="44">
                  <c:v>5.0</c:v>
                </c:pt>
                <c:pt idx="45">
                  <c:v>4.1</c:v>
                </c:pt>
                <c:pt idx="46">
                  <c:v>3.3</c:v>
                </c:pt>
                <c:pt idx="47">
                  <c:v>2.6</c:v>
                </c:pt>
                <c:pt idx="48">
                  <c:v>2.1</c:v>
                </c:pt>
                <c:pt idx="49">
                  <c:v>1.7</c:v>
                </c:pt>
                <c:pt idx="50">
                  <c:v>1.5</c:v>
                </c:pt>
                <c:pt idx="51">
                  <c:v>1.1</c:v>
                </c:pt>
                <c:pt idx="52">
                  <c:v>0.9</c:v>
                </c:pt>
                <c:pt idx="53">
                  <c:v>0.7</c:v>
                </c:pt>
                <c:pt idx="54">
                  <c:v>0.6</c:v>
                </c:pt>
                <c:pt idx="55">
                  <c:v>0.4</c:v>
                </c:pt>
                <c:pt idx="56">
                  <c:v>0.4</c:v>
                </c:pt>
                <c:pt idx="57">
                  <c:v>0.3</c:v>
                </c:pt>
                <c:pt idx="58">
                  <c:v>0.1</c:v>
                </c:pt>
                <c:pt idx="59">
                  <c:v>0.0</c:v>
                </c:pt>
                <c:pt idx="60">
                  <c:v>0.0</c:v>
                </c:pt>
                <c:pt idx="61">
                  <c:v>0.0</c:v>
                </c:pt>
                <c:pt idx="62">
                  <c:v>0.0</c:v>
                </c:pt>
                <c:pt idx="63">
                  <c:v>0.0</c:v>
                </c:pt>
                <c:pt idx="64">
                  <c:v>0.0</c:v>
                </c:pt>
                <c:pt idx="65">
                  <c:v>0.0</c:v>
                </c:pt>
              </c:numCache>
            </c:numRef>
          </c:yVal>
          <c:smooth val="0"/>
        </c:ser>
        <c:ser>
          <c:idx val="11"/>
          <c:order val="11"/>
          <c:tx>
            <c:strRef>
              <c:f>成長曲線_データ!$AB$2</c:f>
              <c:strCache>
                <c:ptCount val="1"/>
                <c:pt idx="0">
                  <c:v>-2SD</c:v>
                </c:pt>
              </c:strCache>
            </c:strRef>
          </c:tx>
          <c:spPr>
            <a:ln w="12700">
              <a:solidFill>
                <a:schemeClr val="tx1"/>
              </a:solidFill>
            </a:ln>
          </c:spPr>
          <c:marker>
            <c:symbol val="none"/>
          </c:marker>
          <c:xVal>
            <c:numRef>
              <c:f>成長曲線_データ!$V$8:$V$73</c:f>
              <c:numCache>
                <c:formatCode>General</c:formatCode>
                <c:ptCount val="66"/>
                <c:pt idx="0">
                  <c:v>1.0</c:v>
                </c:pt>
                <c:pt idx="1">
                  <c:v>1.25</c:v>
                </c:pt>
                <c:pt idx="2">
                  <c:v>1.5</c:v>
                </c:pt>
                <c:pt idx="3">
                  <c:v>1.75</c:v>
                </c:pt>
                <c:pt idx="4">
                  <c:v>2.0</c:v>
                </c:pt>
                <c:pt idx="5">
                  <c:v>2.25</c:v>
                </c:pt>
                <c:pt idx="6">
                  <c:v>2.5</c:v>
                </c:pt>
                <c:pt idx="7">
                  <c:v>2.75</c:v>
                </c:pt>
                <c:pt idx="8">
                  <c:v>3.0</c:v>
                </c:pt>
                <c:pt idx="9">
                  <c:v>3.25</c:v>
                </c:pt>
                <c:pt idx="10">
                  <c:v>3.5</c:v>
                </c:pt>
                <c:pt idx="11">
                  <c:v>3.75</c:v>
                </c:pt>
                <c:pt idx="12">
                  <c:v>4.0</c:v>
                </c:pt>
                <c:pt idx="13">
                  <c:v>4.25</c:v>
                </c:pt>
                <c:pt idx="14">
                  <c:v>4.5</c:v>
                </c:pt>
                <c:pt idx="15">
                  <c:v>4.75</c:v>
                </c:pt>
                <c:pt idx="16">
                  <c:v>5.0</c:v>
                </c:pt>
                <c:pt idx="17">
                  <c:v>5.25</c:v>
                </c:pt>
                <c:pt idx="18">
                  <c:v>5.5</c:v>
                </c:pt>
                <c:pt idx="19">
                  <c:v>5.75</c:v>
                </c:pt>
                <c:pt idx="20">
                  <c:v>6.0</c:v>
                </c:pt>
                <c:pt idx="21">
                  <c:v>6.25</c:v>
                </c:pt>
                <c:pt idx="22">
                  <c:v>6.5</c:v>
                </c:pt>
                <c:pt idx="23">
                  <c:v>6.75</c:v>
                </c:pt>
                <c:pt idx="24">
                  <c:v>7.0</c:v>
                </c:pt>
                <c:pt idx="25">
                  <c:v>7.25</c:v>
                </c:pt>
                <c:pt idx="26">
                  <c:v>7.5</c:v>
                </c:pt>
                <c:pt idx="27">
                  <c:v>7.75</c:v>
                </c:pt>
                <c:pt idx="28">
                  <c:v>8.0</c:v>
                </c:pt>
                <c:pt idx="29">
                  <c:v>8.25</c:v>
                </c:pt>
                <c:pt idx="30">
                  <c:v>8.5</c:v>
                </c:pt>
                <c:pt idx="31">
                  <c:v>8.75</c:v>
                </c:pt>
                <c:pt idx="32">
                  <c:v>9.0</c:v>
                </c:pt>
                <c:pt idx="33">
                  <c:v>9.25</c:v>
                </c:pt>
                <c:pt idx="34">
                  <c:v>9.5</c:v>
                </c:pt>
                <c:pt idx="35">
                  <c:v>9.75</c:v>
                </c:pt>
                <c:pt idx="36">
                  <c:v>10.0</c:v>
                </c:pt>
                <c:pt idx="37">
                  <c:v>10.25</c:v>
                </c:pt>
                <c:pt idx="38">
                  <c:v>10.5</c:v>
                </c:pt>
                <c:pt idx="39">
                  <c:v>10.75</c:v>
                </c:pt>
                <c:pt idx="40">
                  <c:v>11.0</c:v>
                </c:pt>
                <c:pt idx="41">
                  <c:v>11.25</c:v>
                </c:pt>
                <c:pt idx="42">
                  <c:v>11.5</c:v>
                </c:pt>
                <c:pt idx="43">
                  <c:v>11.75</c:v>
                </c:pt>
                <c:pt idx="44">
                  <c:v>12.0</c:v>
                </c:pt>
                <c:pt idx="45">
                  <c:v>12.25</c:v>
                </c:pt>
                <c:pt idx="46">
                  <c:v>12.5</c:v>
                </c:pt>
                <c:pt idx="47">
                  <c:v>12.75</c:v>
                </c:pt>
                <c:pt idx="48">
                  <c:v>13.0</c:v>
                </c:pt>
                <c:pt idx="49">
                  <c:v>13.25</c:v>
                </c:pt>
                <c:pt idx="50">
                  <c:v>13.5</c:v>
                </c:pt>
                <c:pt idx="51">
                  <c:v>13.75</c:v>
                </c:pt>
                <c:pt idx="52">
                  <c:v>14.0</c:v>
                </c:pt>
                <c:pt idx="53">
                  <c:v>14.25</c:v>
                </c:pt>
                <c:pt idx="54">
                  <c:v>14.5</c:v>
                </c:pt>
                <c:pt idx="55">
                  <c:v>14.75</c:v>
                </c:pt>
                <c:pt idx="56">
                  <c:v>15.0</c:v>
                </c:pt>
                <c:pt idx="57">
                  <c:v>15.25</c:v>
                </c:pt>
                <c:pt idx="58">
                  <c:v>15.5</c:v>
                </c:pt>
                <c:pt idx="59">
                  <c:v>15.75</c:v>
                </c:pt>
                <c:pt idx="60">
                  <c:v>16.0</c:v>
                </c:pt>
                <c:pt idx="61">
                  <c:v>16.25</c:v>
                </c:pt>
                <c:pt idx="62">
                  <c:v>16.5</c:v>
                </c:pt>
                <c:pt idx="63">
                  <c:v>16.75</c:v>
                </c:pt>
                <c:pt idx="64">
                  <c:v>17.0</c:v>
                </c:pt>
                <c:pt idx="65">
                  <c:v>17.25</c:v>
                </c:pt>
              </c:numCache>
            </c:numRef>
          </c:xVal>
          <c:yVal>
            <c:numRef>
              <c:f>成長曲線_データ!$AB$8:$AB$73</c:f>
              <c:numCache>
                <c:formatCode>General</c:formatCode>
                <c:ptCount val="66"/>
                <c:pt idx="0">
                  <c:v>10.6</c:v>
                </c:pt>
                <c:pt idx="1">
                  <c:v>9.399999999999998</c:v>
                </c:pt>
                <c:pt idx="2">
                  <c:v>8.3</c:v>
                </c:pt>
                <c:pt idx="3">
                  <c:v>7.6</c:v>
                </c:pt>
                <c:pt idx="4">
                  <c:v>7.200000000000001</c:v>
                </c:pt>
                <c:pt idx="5">
                  <c:v>6.800000000000001</c:v>
                </c:pt>
                <c:pt idx="6">
                  <c:v>6.4</c:v>
                </c:pt>
                <c:pt idx="7">
                  <c:v>6.1</c:v>
                </c:pt>
                <c:pt idx="8">
                  <c:v>5.800000000000001</c:v>
                </c:pt>
                <c:pt idx="9">
                  <c:v>5.6</c:v>
                </c:pt>
                <c:pt idx="10">
                  <c:v>5.5</c:v>
                </c:pt>
                <c:pt idx="11">
                  <c:v>5.6</c:v>
                </c:pt>
                <c:pt idx="12">
                  <c:v>5.5</c:v>
                </c:pt>
                <c:pt idx="13">
                  <c:v>5.4</c:v>
                </c:pt>
                <c:pt idx="14">
                  <c:v>5.300000000000001</c:v>
                </c:pt>
                <c:pt idx="15">
                  <c:v>5.199999999999999</c:v>
                </c:pt>
                <c:pt idx="16">
                  <c:v>5.1</c:v>
                </c:pt>
                <c:pt idx="17">
                  <c:v>5.0</c:v>
                </c:pt>
                <c:pt idx="18">
                  <c:v>4.9</c:v>
                </c:pt>
                <c:pt idx="19">
                  <c:v>4.9</c:v>
                </c:pt>
                <c:pt idx="20">
                  <c:v>4.699999999999999</c:v>
                </c:pt>
                <c:pt idx="21">
                  <c:v>4.699999999999999</c:v>
                </c:pt>
                <c:pt idx="22">
                  <c:v>4.5</c:v>
                </c:pt>
                <c:pt idx="23">
                  <c:v>4.4</c:v>
                </c:pt>
                <c:pt idx="24">
                  <c:v>4.300000000000001</c:v>
                </c:pt>
                <c:pt idx="25">
                  <c:v>4.199999999999999</c:v>
                </c:pt>
                <c:pt idx="26">
                  <c:v>4.1</c:v>
                </c:pt>
                <c:pt idx="27">
                  <c:v>3.8</c:v>
                </c:pt>
                <c:pt idx="28">
                  <c:v>3.8</c:v>
                </c:pt>
                <c:pt idx="29">
                  <c:v>3.7</c:v>
                </c:pt>
                <c:pt idx="30">
                  <c:v>3.7</c:v>
                </c:pt>
                <c:pt idx="31">
                  <c:v>3.7</c:v>
                </c:pt>
                <c:pt idx="32">
                  <c:v>3.8</c:v>
                </c:pt>
                <c:pt idx="33">
                  <c:v>3.8</c:v>
                </c:pt>
                <c:pt idx="34">
                  <c:v>4</c:v>
                </c:pt>
                <c:pt idx="35">
                  <c:v>4.300000000000001</c:v>
                </c:pt>
                <c:pt idx="36">
                  <c:v>4.699999999999999</c:v>
                </c:pt>
                <c:pt idx="37">
                  <c:v>5.1</c:v>
                </c:pt>
                <c:pt idx="38">
                  <c:v>5.5</c:v>
                </c:pt>
                <c:pt idx="39">
                  <c:v>5.9</c:v>
                </c:pt>
                <c:pt idx="40">
                  <c:v>6.100000000000001</c:v>
                </c:pt>
                <c:pt idx="41">
                  <c:v>6.0</c:v>
                </c:pt>
                <c:pt idx="42">
                  <c:v>5.6</c:v>
                </c:pt>
                <c:pt idx="43">
                  <c:v>5.1</c:v>
                </c:pt>
                <c:pt idx="44">
                  <c:v>4.199999999999999</c:v>
                </c:pt>
                <c:pt idx="45">
                  <c:v>3.2</c:v>
                </c:pt>
                <c:pt idx="46">
                  <c:v>2.4</c:v>
                </c:pt>
                <c:pt idx="47">
                  <c:v>1.7</c:v>
                </c:pt>
                <c:pt idx="48">
                  <c:v>1.2</c:v>
                </c:pt>
                <c:pt idx="49">
                  <c:v>0.9</c:v>
                </c:pt>
                <c:pt idx="50">
                  <c:v>0.8</c:v>
                </c:pt>
                <c:pt idx="51">
                  <c:v>0.4</c:v>
                </c:pt>
                <c:pt idx="52">
                  <c:v>0.3</c:v>
                </c:pt>
                <c:pt idx="53">
                  <c:v>0.1</c:v>
                </c:pt>
                <c:pt idx="54">
                  <c:v>0.1</c:v>
                </c:pt>
                <c:pt idx="55">
                  <c:v>0.0</c:v>
                </c:pt>
                <c:pt idx="56">
                  <c:v>0.0</c:v>
                </c:pt>
                <c:pt idx="57">
                  <c:v>0.0</c:v>
                </c:pt>
                <c:pt idx="58">
                  <c:v>0.0</c:v>
                </c:pt>
                <c:pt idx="59">
                  <c:v>0.0</c:v>
                </c:pt>
                <c:pt idx="60">
                  <c:v>0.0</c:v>
                </c:pt>
                <c:pt idx="61">
                  <c:v>0.0</c:v>
                </c:pt>
                <c:pt idx="62">
                  <c:v>0.0</c:v>
                </c:pt>
                <c:pt idx="63">
                  <c:v>0.0</c:v>
                </c:pt>
                <c:pt idx="64">
                  <c:v>0.0</c:v>
                </c:pt>
                <c:pt idx="65">
                  <c:v>0.0</c:v>
                </c:pt>
              </c:numCache>
            </c:numRef>
          </c:yVal>
          <c:smooth val="0"/>
        </c:ser>
        <c:ser>
          <c:idx val="13"/>
          <c:order val="13"/>
          <c:tx>
            <c:strRef>
              <c:f>入力!$V$13</c:f>
              <c:strCache>
                <c:ptCount val="1"/>
                <c:pt idx="0">
                  <c:v> 成長速度</c:v>
                </c:pt>
              </c:strCache>
            </c:strRef>
          </c:tx>
          <c:spPr>
            <a:ln>
              <a:noFill/>
            </a:ln>
          </c:spPr>
          <c:marker>
            <c:symbol val="square"/>
            <c:size val="7"/>
            <c:spPr>
              <a:solidFill>
                <a:srgbClr val="0033CC"/>
              </a:solidFill>
              <a:ln w="19050">
                <a:solidFill>
                  <a:schemeClr val="bg1"/>
                </a:solidFill>
              </a:ln>
            </c:spPr>
          </c:marker>
          <c:xVal>
            <c:numRef>
              <c:f>入力!$AB$8:$AB$156</c:f>
              <c:numCache>
                <c:formatCode>0.00_);[Red]\(0.00\)</c:formatCode>
                <c:ptCount val="1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numCache>
            </c:numRef>
          </c:xVal>
          <c:yVal>
            <c:numRef>
              <c:f>入力!$J$8:$J$156</c:f>
              <c:numCache>
                <c:formatCode>0.0_ </c:formatCode>
                <c:ptCount val="149"/>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pt idx="52">
                  <c:v>0.0</c:v>
                </c:pt>
                <c:pt idx="53">
                  <c:v>0.0</c:v>
                </c:pt>
                <c:pt idx="54">
                  <c:v>0.0</c:v>
                </c:pt>
                <c:pt idx="55">
                  <c:v>0.0</c:v>
                </c:pt>
                <c:pt idx="56">
                  <c:v>0.0</c:v>
                </c:pt>
                <c:pt idx="57">
                  <c:v>0.0</c:v>
                </c:pt>
                <c:pt idx="58">
                  <c:v>0.0</c:v>
                </c:pt>
                <c:pt idx="59">
                  <c:v>0.0</c:v>
                </c:pt>
                <c:pt idx="60">
                  <c:v>0.0</c:v>
                </c:pt>
                <c:pt idx="61">
                  <c:v>0.0</c:v>
                </c:pt>
                <c:pt idx="62">
                  <c:v>0.0</c:v>
                </c:pt>
                <c:pt idx="63">
                  <c:v>0.0</c:v>
                </c:pt>
                <c:pt idx="64">
                  <c:v>0.0</c:v>
                </c:pt>
                <c:pt idx="65">
                  <c:v>0.0</c:v>
                </c:pt>
                <c:pt idx="66">
                  <c:v>0.0</c:v>
                </c:pt>
                <c:pt idx="67">
                  <c:v>0.0</c:v>
                </c:pt>
                <c:pt idx="68">
                  <c:v>0.0</c:v>
                </c:pt>
                <c:pt idx="69">
                  <c:v>0.0</c:v>
                </c:pt>
                <c:pt idx="70">
                  <c:v>0.0</c:v>
                </c:pt>
                <c:pt idx="71">
                  <c:v>0.0</c:v>
                </c:pt>
                <c:pt idx="72">
                  <c:v>0.0</c:v>
                </c:pt>
                <c:pt idx="73">
                  <c:v>0.0</c:v>
                </c:pt>
                <c:pt idx="74">
                  <c:v>0.0</c:v>
                </c:pt>
                <c:pt idx="75">
                  <c:v>0.0</c:v>
                </c:pt>
                <c:pt idx="76">
                  <c:v>0.0</c:v>
                </c:pt>
                <c:pt idx="77">
                  <c:v>0.0</c:v>
                </c:pt>
                <c:pt idx="78">
                  <c:v>0.0</c:v>
                </c:pt>
                <c:pt idx="79">
                  <c:v>0.0</c:v>
                </c:pt>
                <c:pt idx="80">
                  <c:v>0.0</c:v>
                </c:pt>
                <c:pt idx="81">
                  <c:v>0.0</c:v>
                </c:pt>
                <c:pt idx="82">
                  <c:v>0.0</c:v>
                </c:pt>
                <c:pt idx="83">
                  <c:v>0.0</c:v>
                </c:pt>
                <c:pt idx="84">
                  <c:v>0.0</c:v>
                </c:pt>
                <c:pt idx="85">
                  <c:v>0.0</c:v>
                </c:pt>
                <c:pt idx="86">
                  <c:v>0.0</c:v>
                </c:pt>
                <c:pt idx="87">
                  <c:v>0.0</c:v>
                </c:pt>
                <c:pt idx="88">
                  <c:v>0.0</c:v>
                </c:pt>
                <c:pt idx="89">
                  <c:v>0.0</c:v>
                </c:pt>
                <c:pt idx="90">
                  <c:v>0.0</c:v>
                </c:pt>
                <c:pt idx="91">
                  <c:v>0.0</c:v>
                </c:pt>
                <c:pt idx="92">
                  <c:v>0.0</c:v>
                </c:pt>
                <c:pt idx="93">
                  <c:v>0.0</c:v>
                </c:pt>
                <c:pt idx="94">
                  <c:v>0.0</c:v>
                </c:pt>
                <c:pt idx="95">
                  <c:v>0.0</c:v>
                </c:pt>
                <c:pt idx="96">
                  <c:v>0.0</c:v>
                </c:pt>
                <c:pt idx="97">
                  <c:v>0.0</c:v>
                </c:pt>
                <c:pt idx="98">
                  <c:v>0.0</c:v>
                </c:pt>
                <c:pt idx="99">
                  <c:v>0.0</c:v>
                </c:pt>
                <c:pt idx="100">
                  <c:v>0.0</c:v>
                </c:pt>
                <c:pt idx="101">
                  <c:v>0.0</c:v>
                </c:pt>
                <c:pt idx="102">
                  <c:v>0.0</c:v>
                </c:pt>
                <c:pt idx="103">
                  <c:v>0.0</c:v>
                </c:pt>
                <c:pt idx="104">
                  <c:v>0.0</c:v>
                </c:pt>
                <c:pt idx="105">
                  <c:v>0.0</c:v>
                </c:pt>
                <c:pt idx="106">
                  <c:v>0.0</c:v>
                </c:pt>
                <c:pt idx="107">
                  <c:v>0.0</c:v>
                </c:pt>
                <c:pt idx="108">
                  <c:v>0.0</c:v>
                </c:pt>
                <c:pt idx="109">
                  <c:v>0.0</c:v>
                </c:pt>
                <c:pt idx="110">
                  <c:v>0.0</c:v>
                </c:pt>
                <c:pt idx="111">
                  <c:v>0.0</c:v>
                </c:pt>
                <c:pt idx="112">
                  <c:v>0.0</c:v>
                </c:pt>
                <c:pt idx="113">
                  <c:v>0.0</c:v>
                </c:pt>
                <c:pt idx="114">
                  <c:v>0.0</c:v>
                </c:pt>
                <c:pt idx="115">
                  <c:v>0.0</c:v>
                </c:pt>
                <c:pt idx="116">
                  <c:v>0.0</c:v>
                </c:pt>
                <c:pt idx="117">
                  <c:v>0.0</c:v>
                </c:pt>
                <c:pt idx="118">
                  <c:v>0.0</c:v>
                </c:pt>
                <c:pt idx="119">
                  <c:v>0.0</c:v>
                </c:pt>
                <c:pt idx="120">
                  <c:v>0.0</c:v>
                </c:pt>
                <c:pt idx="121">
                  <c:v>0.0</c:v>
                </c:pt>
                <c:pt idx="122">
                  <c:v>0.0</c:v>
                </c:pt>
                <c:pt idx="123">
                  <c:v>0.0</c:v>
                </c:pt>
                <c:pt idx="124">
                  <c:v>0.0</c:v>
                </c:pt>
                <c:pt idx="125">
                  <c:v>0.0</c:v>
                </c:pt>
                <c:pt idx="126">
                  <c:v>0.0</c:v>
                </c:pt>
                <c:pt idx="127">
                  <c:v>0.0</c:v>
                </c:pt>
                <c:pt idx="128">
                  <c:v>0.0</c:v>
                </c:pt>
                <c:pt idx="129">
                  <c:v>0.0</c:v>
                </c:pt>
                <c:pt idx="130">
                  <c:v>0.0</c:v>
                </c:pt>
                <c:pt idx="131">
                  <c:v>0.0</c:v>
                </c:pt>
                <c:pt idx="132">
                  <c:v>0.0</c:v>
                </c:pt>
                <c:pt idx="133">
                  <c:v>0.0</c:v>
                </c:pt>
                <c:pt idx="134">
                  <c:v>0.0</c:v>
                </c:pt>
                <c:pt idx="135">
                  <c:v>0.0</c:v>
                </c:pt>
                <c:pt idx="136">
                  <c:v>0.0</c:v>
                </c:pt>
                <c:pt idx="137">
                  <c:v>0.0</c:v>
                </c:pt>
                <c:pt idx="138">
                  <c:v>0.0</c:v>
                </c:pt>
                <c:pt idx="139">
                  <c:v>0.0</c:v>
                </c:pt>
                <c:pt idx="140">
                  <c:v>0.0</c:v>
                </c:pt>
                <c:pt idx="141">
                  <c:v>0.0</c:v>
                </c:pt>
                <c:pt idx="142">
                  <c:v>0.0</c:v>
                </c:pt>
                <c:pt idx="143">
                  <c:v>0.0</c:v>
                </c:pt>
                <c:pt idx="144">
                  <c:v>0.0</c:v>
                </c:pt>
                <c:pt idx="145">
                  <c:v>0.0</c:v>
                </c:pt>
                <c:pt idx="146">
                  <c:v>0.0</c:v>
                </c:pt>
                <c:pt idx="147">
                  <c:v>0.0</c:v>
                </c:pt>
                <c:pt idx="148">
                  <c:v>0.0</c:v>
                </c:pt>
              </c:numCache>
            </c:numRef>
          </c:yVal>
          <c:smooth val="0"/>
        </c:ser>
        <c:dLbls>
          <c:showLegendKey val="0"/>
          <c:showVal val="0"/>
          <c:showCatName val="0"/>
          <c:showSerName val="0"/>
          <c:showPercent val="0"/>
          <c:showBubbleSize val="0"/>
        </c:dLbls>
        <c:axId val="-880062128"/>
        <c:axId val="-880069872"/>
        <c:extLst>
          <c:ext xmlns:c15="http://schemas.microsoft.com/office/drawing/2012/chart" uri="{02D57815-91ED-43cb-92C2-25804820EDAC}">
            <c15:filteredScatterSeries>
              <c15:ser>
                <c:idx val="14"/>
                <c:order val="14"/>
                <c:tx>
                  <c:strRef>
                    <c:extLst>
                      <c:ext uri="{02D57815-91ED-43cb-92C2-25804820EDAC}">
                        <c15:formulaRef>
                          <c15:sqref>成長曲線_データ!$Y$2</c15:sqref>
                        </c15:formulaRef>
                      </c:ext>
                    </c:extLst>
                    <c:strCache>
                      <c:ptCount val="1"/>
                      <c:pt idx="0">
                        <c:v>+2SD</c:v>
                      </c:pt>
                    </c:strCache>
                  </c:strRef>
                </c:tx>
                <c:spPr>
                  <a:ln w="12700">
                    <a:solidFill>
                      <a:schemeClr val="tx1"/>
                    </a:solidFill>
                    <a:prstDash val="dash"/>
                  </a:ln>
                </c:spPr>
                <c:marker>
                  <c:symbol val="circle"/>
                  <c:size val="3"/>
                  <c:spPr>
                    <a:solidFill>
                      <a:schemeClr val="tx1"/>
                    </a:solidFill>
                    <a:ln>
                      <a:noFill/>
                    </a:ln>
                  </c:spPr>
                </c:marker>
                <c:xVal>
                  <c:numRef>
                    <c:extLst>
                      <c:ext uri="{02D57815-91ED-43cb-92C2-25804820EDAC}">
                        <c15:formulaRef>
                          <c15:sqref>成長曲線_データ!$V$216:$V$220</c15:sqref>
                        </c15:formulaRef>
                      </c:ext>
                    </c:extLst>
                    <c:numCache>
                      <c:formatCode>General</c:formatCode>
                      <c:ptCount val="5"/>
                      <c:pt idx="0">
                        <c:v>8.833333333333333</c:v>
                      </c:pt>
                      <c:pt idx="1">
                        <c:v>9.916666666666666</c:v>
                      </c:pt>
                      <c:pt idx="2">
                        <c:v>11.0</c:v>
                      </c:pt>
                      <c:pt idx="3">
                        <c:v>12.08333333333333</c:v>
                      </c:pt>
                      <c:pt idx="4">
                        <c:v>13.16666666666667</c:v>
                      </c:pt>
                    </c:numCache>
                  </c:numRef>
                </c:xVal>
                <c:yVal>
                  <c:numRef>
                    <c:extLst>
                      <c:ext uri="{02D57815-91ED-43cb-92C2-25804820EDAC}">
                        <c15:formulaRef>
                          <c15:sqref>成長曲線_データ!$Y$216:$Y$220</c15:sqref>
                        </c15:formulaRef>
                      </c:ext>
                    </c:extLst>
                    <c:numCache>
                      <c:formatCode>General</c:formatCode>
                      <c:ptCount val="5"/>
                      <c:pt idx="0">
                        <c:v>11.3</c:v>
                      </c:pt>
                      <c:pt idx="1">
                        <c:v>10.9</c:v>
                      </c:pt>
                      <c:pt idx="2">
                        <c:v>10.3</c:v>
                      </c:pt>
                      <c:pt idx="3">
                        <c:v>10.3</c:v>
                      </c:pt>
                      <c:pt idx="4">
                        <c:v>9.8</c:v>
                      </c:pt>
                    </c:numCache>
                  </c:numRef>
                </c:yVal>
                <c:smooth val="0"/>
              </c15:ser>
            </c15:filteredScatterSeries>
            <c15:filteredScatterSeries>
              <c15:ser>
                <c:idx val="15"/>
                <c:order val="15"/>
                <c:tx>
                  <c:strRef>
                    <c:extLst xmlns:c15="http://schemas.microsoft.com/office/drawing/2012/chart">
                      <c:ext xmlns:c15="http://schemas.microsoft.com/office/drawing/2012/chart" uri="{02D57815-91ED-43cb-92C2-25804820EDAC}">
                        <c15:formulaRef>
                          <c15:sqref>成長曲線_データ!$Z$2</c15:sqref>
                        </c15:formulaRef>
                      </c:ext>
                    </c:extLst>
                    <c:strCache>
                      <c:ptCount val="1"/>
                      <c:pt idx="0">
                        <c:v>+1SD</c:v>
                      </c:pt>
                    </c:strCache>
                  </c:strRef>
                </c:tx>
                <c:spPr>
                  <a:ln w="12700">
                    <a:solidFill>
                      <a:sysClr val="windowText" lastClr="000000"/>
                    </a:solidFill>
                    <a:prstDash val="dash"/>
                  </a:ln>
                </c:spPr>
                <c:marker>
                  <c:symbol val="circle"/>
                  <c:size val="3"/>
                  <c:spPr>
                    <a:solidFill>
                      <a:sysClr val="windowText" lastClr="000000"/>
                    </a:solidFill>
                    <a:ln>
                      <a:noFill/>
                    </a:ln>
                  </c:spPr>
                </c:marker>
                <c:xVal>
                  <c:numRef>
                    <c:extLst xmlns:c15="http://schemas.microsoft.com/office/drawing/2012/chart">
                      <c:ext xmlns:c15="http://schemas.microsoft.com/office/drawing/2012/chart" uri="{02D57815-91ED-43cb-92C2-25804820EDAC}">
                        <c15:formulaRef>
                          <c15:sqref>成長曲線_データ!$V$216:$V$220</c15:sqref>
                        </c15:formulaRef>
                      </c:ext>
                    </c:extLst>
                    <c:numCache>
                      <c:formatCode>General</c:formatCode>
                      <c:ptCount val="5"/>
                      <c:pt idx="0">
                        <c:v>8.833333333333333</c:v>
                      </c:pt>
                      <c:pt idx="1">
                        <c:v>9.916666666666666</c:v>
                      </c:pt>
                      <c:pt idx="2">
                        <c:v>11.0</c:v>
                      </c:pt>
                      <c:pt idx="3">
                        <c:v>12.08333333333333</c:v>
                      </c:pt>
                      <c:pt idx="4">
                        <c:v>13.16666666666667</c:v>
                      </c:pt>
                    </c:numCache>
                  </c:numRef>
                </c:xVal>
                <c:yVal>
                  <c:numRef>
                    <c:extLst xmlns:c15="http://schemas.microsoft.com/office/drawing/2012/chart">
                      <c:ext xmlns:c15="http://schemas.microsoft.com/office/drawing/2012/chart" uri="{02D57815-91ED-43cb-92C2-25804820EDAC}">
                        <c15:formulaRef>
                          <c15:sqref>成長曲線_データ!$Z$216:$Z$220</c15:sqref>
                        </c15:formulaRef>
                      </c:ext>
                    </c:extLst>
                    <c:numCache>
                      <c:formatCode>General</c:formatCode>
                      <c:ptCount val="5"/>
                      <c:pt idx="0">
                        <c:v>10.0</c:v>
                      </c:pt>
                      <c:pt idx="1">
                        <c:v>9.799999999999998</c:v>
                      </c:pt>
                      <c:pt idx="2">
                        <c:v>9.3</c:v>
                      </c:pt>
                      <c:pt idx="3">
                        <c:v>9.2</c:v>
                      </c:pt>
                      <c:pt idx="4">
                        <c:v>8.7</c:v>
                      </c:pt>
                    </c:numCache>
                  </c:numRef>
                </c:yVal>
                <c:smooth val="0"/>
              </c15:ser>
            </c15:filteredScatterSeries>
            <c15:filteredScatterSeries>
              <c15:ser>
                <c:idx val="16"/>
                <c:order val="16"/>
                <c:tx>
                  <c:strRef>
                    <c:extLst xmlns:c15="http://schemas.microsoft.com/office/drawing/2012/chart">
                      <c:ext xmlns:c15="http://schemas.microsoft.com/office/drawing/2012/chart" uri="{02D57815-91ED-43cb-92C2-25804820EDAC}">
                        <c15:formulaRef>
                          <c15:sqref>成長曲線_データ!$T$218</c15:sqref>
                        </c15:formulaRef>
                      </c:ext>
                    </c:extLst>
                    <c:strCache>
                      <c:ptCount val="1"/>
                      <c:pt idx="0">
                        <c:v>mean</c:v>
                      </c:pt>
                    </c:strCache>
                  </c:strRef>
                </c:tx>
                <c:spPr>
                  <a:ln w="12700">
                    <a:solidFill>
                      <a:sysClr val="windowText" lastClr="000000"/>
                    </a:solidFill>
                    <a:prstDash val="dash"/>
                  </a:ln>
                </c:spPr>
                <c:marker>
                  <c:symbol val="circle"/>
                  <c:size val="3"/>
                  <c:spPr>
                    <a:solidFill>
                      <a:sysClr val="windowText" lastClr="000000"/>
                    </a:solidFill>
                    <a:ln>
                      <a:noFill/>
                    </a:ln>
                  </c:spPr>
                </c:marker>
                <c:xVal>
                  <c:numRef>
                    <c:extLst xmlns:c15="http://schemas.microsoft.com/office/drawing/2012/chart">
                      <c:ext xmlns:c15="http://schemas.microsoft.com/office/drawing/2012/chart" uri="{02D57815-91ED-43cb-92C2-25804820EDAC}">
                        <c15:formulaRef>
                          <c15:sqref>成長曲線_データ!$V$216:$V$220</c15:sqref>
                        </c15:formulaRef>
                      </c:ext>
                    </c:extLst>
                    <c:numCache>
                      <c:formatCode>General</c:formatCode>
                      <c:ptCount val="5"/>
                      <c:pt idx="0">
                        <c:v>8.833333333333333</c:v>
                      </c:pt>
                      <c:pt idx="1">
                        <c:v>9.916666666666666</c:v>
                      </c:pt>
                      <c:pt idx="2">
                        <c:v>11.0</c:v>
                      </c:pt>
                      <c:pt idx="3">
                        <c:v>12.08333333333333</c:v>
                      </c:pt>
                      <c:pt idx="4">
                        <c:v>13.16666666666667</c:v>
                      </c:pt>
                    </c:numCache>
                  </c:numRef>
                </c:xVal>
                <c:yVal>
                  <c:numRef>
                    <c:extLst xmlns:c15="http://schemas.microsoft.com/office/drawing/2012/chart">
                      <c:ext xmlns:c15="http://schemas.microsoft.com/office/drawing/2012/chart" uri="{02D57815-91ED-43cb-92C2-25804820EDAC}">
                        <c15:formulaRef>
                          <c15:sqref>成長曲線_データ!$W$216:$W$220</c15:sqref>
                        </c15:formulaRef>
                      </c:ext>
                    </c:extLst>
                    <c:numCache>
                      <c:formatCode>General</c:formatCode>
                      <c:ptCount val="5"/>
                      <c:pt idx="0">
                        <c:v>8.7</c:v>
                      </c:pt>
                      <c:pt idx="1">
                        <c:v>8.7</c:v>
                      </c:pt>
                      <c:pt idx="2">
                        <c:v>8.3</c:v>
                      </c:pt>
                      <c:pt idx="3">
                        <c:v>8.1</c:v>
                      </c:pt>
                      <c:pt idx="4">
                        <c:v>7.6</c:v>
                      </c:pt>
                    </c:numCache>
                  </c:numRef>
                </c:yVal>
                <c:smooth val="0"/>
              </c15:ser>
            </c15:filteredScatterSeries>
            <c15:filteredScatterSeries>
              <c15:ser>
                <c:idx val="17"/>
                <c:order val="17"/>
                <c:tx>
                  <c:strRef>
                    <c:extLst xmlns:c15="http://schemas.microsoft.com/office/drawing/2012/chart">
                      <c:ext xmlns:c15="http://schemas.microsoft.com/office/drawing/2012/chart" uri="{02D57815-91ED-43cb-92C2-25804820EDAC}">
                        <c15:formulaRef>
                          <c15:sqref>成長曲線_データ!$AA$2</c15:sqref>
                        </c15:formulaRef>
                      </c:ext>
                    </c:extLst>
                    <c:strCache>
                      <c:ptCount val="1"/>
                      <c:pt idx="0">
                        <c:v>-1SD</c:v>
                      </c:pt>
                    </c:strCache>
                  </c:strRef>
                </c:tx>
                <c:spPr>
                  <a:ln w="12700">
                    <a:solidFill>
                      <a:schemeClr val="tx1"/>
                    </a:solidFill>
                    <a:prstDash val="dash"/>
                  </a:ln>
                </c:spPr>
                <c:marker>
                  <c:symbol val="circle"/>
                  <c:size val="3"/>
                  <c:spPr>
                    <a:solidFill>
                      <a:sysClr val="windowText" lastClr="000000"/>
                    </a:solidFill>
                    <a:ln>
                      <a:noFill/>
                    </a:ln>
                  </c:spPr>
                </c:marker>
                <c:xVal>
                  <c:numRef>
                    <c:extLst xmlns:c15="http://schemas.microsoft.com/office/drawing/2012/chart">
                      <c:ext xmlns:c15="http://schemas.microsoft.com/office/drawing/2012/chart" uri="{02D57815-91ED-43cb-92C2-25804820EDAC}">
                        <c15:formulaRef>
                          <c15:sqref>成長曲線_データ!$V$216:$V$220</c15:sqref>
                        </c15:formulaRef>
                      </c:ext>
                    </c:extLst>
                    <c:numCache>
                      <c:formatCode>General</c:formatCode>
                      <c:ptCount val="5"/>
                      <c:pt idx="0">
                        <c:v>8.833333333333333</c:v>
                      </c:pt>
                      <c:pt idx="1">
                        <c:v>9.916666666666666</c:v>
                      </c:pt>
                      <c:pt idx="2">
                        <c:v>11.0</c:v>
                      </c:pt>
                      <c:pt idx="3">
                        <c:v>12.08333333333333</c:v>
                      </c:pt>
                      <c:pt idx="4">
                        <c:v>13.16666666666667</c:v>
                      </c:pt>
                    </c:numCache>
                  </c:numRef>
                </c:xVal>
                <c:yVal>
                  <c:numRef>
                    <c:extLst xmlns:c15="http://schemas.microsoft.com/office/drawing/2012/chart">
                      <c:ext xmlns:c15="http://schemas.microsoft.com/office/drawing/2012/chart" uri="{02D57815-91ED-43cb-92C2-25804820EDAC}">
                        <c15:formulaRef>
                          <c15:sqref>成長曲線_データ!$AA$216:$AA$220</c15:sqref>
                        </c15:formulaRef>
                      </c:ext>
                    </c:extLst>
                    <c:numCache>
                      <c:formatCode>General</c:formatCode>
                      <c:ptCount val="5"/>
                      <c:pt idx="0">
                        <c:v>7.399999999999999</c:v>
                      </c:pt>
                      <c:pt idx="1">
                        <c:v>7.6</c:v>
                      </c:pt>
                      <c:pt idx="2">
                        <c:v>7.300000000000001</c:v>
                      </c:pt>
                      <c:pt idx="3">
                        <c:v>7.0</c:v>
                      </c:pt>
                      <c:pt idx="4">
                        <c:v>6.5</c:v>
                      </c:pt>
                    </c:numCache>
                  </c:numRef>
                </c:yVal>
                <c:smooth val="0"/>
              </c15:ser>
            </c15:filteredScatterSeries>
            <c15:filteredScatterSeries>
              <c15:ser>
                <c:idx val="18"/>
                <c:order val="18"/>
                <c:tx>
                  <c:strRef>
                    <c:extLst xmlns:c15="http://schemas.microsoft.com/office/drawing/2012/chart">
                      <c:ext xmlns:c15="http://schemas.microsoft.com/office/drawing/2012/chart" uri="{02D57815-91ED-43cb-92C2-25804820EDAC}">
                        <c15:formulaRef>
                          <c15:sqref>成長曲線_データ!$AB$2</c15:sqref>
                        </c15:formulaRef>
                      </c:ext>
                    </c:extLst>
                    <c:strCache>
                      <c:ptCount val="1"/>
                      <c:pt idx="0">
                        <c:v>-2SD</c:v>
                      </c:pt>
                    </c:strCache>
                  </c:strRef>
                </c:tx>
                <c:spPr>
                  <a:ln w="12700">
                    <a:solidFill>
                      <a:schemeClr val="tx1"/>
                    </a:solidFill>
                    <a:prstDash val="dash"/>
                  </a:ln>
                </c:spPr>
                <c:marker>
                  <c:symbol val="circle"/>
                  <c:size val="3"/>
                  <c:spPr>
                    <a:solidFill>
                      <a:sysClr val="windowText" lastClr="000000"/>
                    </a:solidFill>
                    <a:ln>
                      <a:noFill/>
                    </a:ln>
                  </c:spPr>
                </c:marker>
                <c:xVal>
                  <c:numRef>
                    <c:extLst xmlns:c15="http://schemas.microsoft.com/office/drawing/2012/chart">
                      <c:ext xmlns:c15="http://schemas.microsoft.com/office/drawing/2012/chart" uri="{02D57815-91ED-43cb-92C2-25804820EDAC}">
                        <c15:formulaRef>
                          <c15:sqref>成長曲線_データ!$V$216:$V$220</c15:sqref>
                        </c15:formulaRef>
                      </c:ext>
                    </c:extLst>
                    <c:numCache>
                      <c:formatCode>General</c:formatCode>
                      <c:ptCount val="5"/>
                      <c:pt idx="0">
                        <c:v>8.833333333333333</c:v>
                      </c:pt>
                      <c:pt idx="1">
                        <c:v>9.916666666666666</c:v>
                      </c:pt>
                      <c:pt idx="2">
                        <c:v>11.0</c:v>
                      </c:pt>
                      <c:pt idx="3">
                        <c:v>12.08333333333333</c:v>
                      </c:pt>
                      <c:pt idx="4">
                        <c:v>13.16666666666667</c:v>
                      </c:pt>
                    </c:numCache>
                  </c:numRef>
                </c:xVal>
                <c:yVal>
                  <c:numRef>
                    <c:extLst xmlns:c15="http://schemas.microsoft.com/office/drawing/2012/chart">
                      <c:ext xmlns:c15="http://schemas.microsoft.com/office/drawing/2012/chart" uri="{02D57815-91ED-43cb-92C2-25804820EDAC}">
                        <c15:formulaRef>
                          <c15:sqref>成長曲線_データ!$AB$216:$AB$220</c15:sqref>
                        </c15:formulaRef>
                      </c:ext>
                    </c:extLst>
                    <c:numCache>
                      <c:formatCode>General</c:formatCode>
                      <c:ptCount val="5"/>
                      <c:pt idx="0">
                        <c:v>6.1</c:v>
                      </c:pt>
                      <c:pt idx="1">
                        <c:v>6.5</c:v>
                      </c:pt>
                      <c:pt idx="2">
                        <c:v>6.300000000000001</c:v>
                      </c:pt>
                      <c:pt idx="3">
                        <c:v>5.899999999999999</c:v>
                      </c:pt>
                      <c:pt idx="4">
                        <c:v>5.399999999999999</c:v>
                      </c:pt>
                    </c:numCache>
                  </c:numRef>
                </c:yVal>
                <c:smooth val="0"/>
              </c15:ser>
            </c15:filteredScatterSeries>
          </c:ext>
        </c:extLst>
      </c:scatterChart>
      <c:valAx>
        <c:axId val="-880084288"/>
        <c:scaling>
          <c:orientation val="minMax"/>
          <c:max val="6.0"/>
        </c:scaling>
        <c:delete val="0"/>
        <c:axPos val="b"/>
        <c:majorGridlines/>
        <c:title>
          <c:tx>
            <c:rich>
              <a:bodyPr/>
              <a:lstStyle/>
              <a:p>
                <a:pPr>
                  <a:defRPr/>
                </a:pPr>
                <a:r>
                  <a:rPr lang="ja-JP" altLang="en-US"/>
                  <a:t>年齢</a:t>
                </a:r>
                <a:r>
                  <a:rPr lang="en-US" altLang="ja-JP"/>
                  <a:t>(</a:t>
                </a:r>
                <a:r>
                  <a:rPr lang="ja-JP" altLang="en-US"/>
                  <a:t>年</a:t>
                </a:r>
                <a:r>
                  <a:rPr lang="en-US" altLang="ja-JP"/>
                  <a:t>)</a:t>
                </a:r>
                <a:endParaRPr lang="ja-JP" altLang="en-US"/>
              </a:p>
            </c:rich>
          </c:tx>
          <c:overlay val="0"/>
        </c:title>
        <c:numFmt formatCode="General" sourceLinked="0"/>
        <c:majorTickMark val="out"/>
        <c:minorTickMark val="none"/>
        <c:tickLblPos val="nextTo"/>
        <c:crossAx val="-880077200"/>
        <c:crosses val="autoZero"/>
        <c:crossBetween val="midCat"/>
        <c:majorUnit val="1.0"/>
      </c:valAx>
      <c:valAx>
        <c:axId val="-880077200"/>
        <c:scaling>
          <c:orientation val="minMax"/>
          <c:max val="140.0"/>
          <c:min val="30.0"/>
        </c:scaling>
        <c:delete val="0"/>
        <c:axPos val="l"/>
        <c:majorGridlines/>
        <c:minorGridlines/>
        <c:title>
          <c:tx>
            <c:rich>
              <a:bodyPr rot="-5400000" vert="horz"/>
              <a:lstStyle/>
              <a:p>
                <a:pPr>
                  <a:defRPr/>
                </a:pPr>
                <a:r>
                  <a:rPr lang="ja-JP" altLang="en-US"/>
                  <a:t>身長</a:t>
                </a:r>
                <a:r>
                  <a:rPr lang="en-US" altLang="ja-JP"/>
                  <a:t>(cm)</a:t>
                </a:r>
                <a:endParaRPr lang="ja-JP" altLang="en-US"/>
              </a:p>
            </c:rich>
          </c:tx>
          <c:overlay val="0"/>
        </c:title>
        <c:numFmt formatCode="General" sourceLinked="1"/>
        <c:majorTickMark val="out"/>
        <c:minorTickMark val="none"/>
        <c:tickLblPos val="nextTo"/>
        <c:crossAx val="-880084288"/>
        <c:crosses val="autoZero"/>
        <c:crossBetween val="midCat"/>
        <c:majorUnit val="10.0"/>
        <c:minorUnit val="5.0"/>
      </c:valAx>
      <c:valAx>
        <c:axId val="-880069872"/>
        <c:scaling>
          <c:orientation val="minMax"/>
          <c:max val="33.0"/>
          <c:min val="0.0"/>
        </c:scaling>
        <c:delete val="0"/>
        <c:axPos val="r"/>
        <c:title>
          <c:tx>
            <c:rich>
              <a:bodyPr rot="-5400000" vert="horz"/>
              <a:lstStyle/>
              <a:p>
                <a:pPr>
                  <a:defRPr/>
                </a:pPr>
                <a:r>
                  <a:rPr lang="ja-JP" altLang="en-US"/>
                  <a:t>成長速度</a:t>
                </a:r>
                <a:r>
                  <a:rPr lang="en-US" altLang="ja-JP"/>
                  <a:t>(cm/</a:t>
                </a:r>
                <a:r>
                  <a:rPr lang="ja-JP" altLang="en-US"/>
                  <a:t>年</a:t>
                </a:r>
                <a:r>
                  <a:rPr lang="en-US" altLang="ja-JP"/>
                  <a:t>)</a:t>
                </a:r>
                <a:endParaRPr lang="ja-JP" altLang="en-US"/>
              </a:p>
            </c:rich>
          </c:tx>
          <c:overlay val="0"/>
        </c:title>
        <c:numFmt formatCode="General" sourceLinked="1"/>
        <c:majorTickMark val="out"/>
        <c:minorTickMark val="none"/>
        <c:tickLblPos val="nextTo"/>
        <c:crossAx val="-880062128"/>
        <c:crosses val="max"/>
        <c:crossBetween val="midCat"/>
        <c:majorUnit val="3.0"/>
      </c:valAx>
      <c:valAx>
        <c:axId val="-880062128"/>
        <c:scaling>
          <c:orientation val="minMax"/>
        </c:scaling>
        <c:delete val="1"/>
        <c:axPos val="b"/>
        <c:numFmt formatCode="General" sourceLinked="1"/>
        <c:majorTickMark val="out"/>
        <c:minorTickMark val="none"/>
        <c:tickLblPos val="none"/>
        <c:crossAx val="-880069872"/>
        <c:crosses val="autoZero"/>
        <c:crossBetween val="midCat"/>
      </c:valAx>
    </c:plotArea>
    <c:legend>
      <c:legendPos val="r"/>
      <c:layout>
        <c:manualLayout>
          <c:xMode val="edge"/>
          <c:yMode val="edge"/>
          <c:x val="0.219952124183007"/>
          <c:y val="0.0769376157407408"/>
          <c:w val="0.271732545728902"/>
          <c:h val="0.262829398148148"/>
        </c:manualLayout>
      </c:layout>
      <c:overlay val="0"/>
      <c:spPr>
        <a:solidFill>
          <a:sysClr val="window" lastClr="FFFFFF"/>
        </a:solidFill>
        <a:ln>
          <a:solidFill>
            <a:sysClr val="windowText" lastClr="000000"/>
          </a:solidFill>
        </a:ln>
      </c:spPr>
    </c:legend>
    <c:plotVisOnly val="1"/>
    <c:dispBlanksAs val="span"/>
    <c:showDLblsOverMax val="0"/>
  </c:chart>
  <c:printSettings>
    <c:headerFooter/>
    <c:pageMargins b="0.750000000000009" l="0.700000000000001" r="0.700000000000001" t="0.750000000000009"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入力!$V$7</c:f>
          <c:strCache>
            <c:ptCount val="1"/>
            <c:pt idx="0">
              <c:v>BMI推移(子)</c:v>
            </c:pt>
          </c:strCache>
        </c:strRef>
      </c:tx>
      <c:overlay val="1"/>
    </c:title>
    <c:autoTitleDeleted val="0"/>
    <c:plotArea>
      <c:layout>
        <c:manualLayout>
          <c:layoutTarget val="inner"/>
          <c:xMode val="edge"/>
          <c:yMode val="edge"/>
          <c:x val="0.093136274509804"/>
          <c:y val="0.128176262626263"/>
          <c:w val="0.839041989841528"/>
          <c:h val="0.729989393939399"/>
        </c:manualLayout>
      </c:layout>
      <c:scatterChart>
        <c:scatterStyle val="lineMarker"/>
        <c:varyColors val="0"/>
        <c:ser>
          <c:idx val="7"/>
          <c:order val="0"/>
          <c:tx>
            <c:strRef>
              <c:f>成長曲線_データ!$AQ$2</c:f>
              <c:strCache>
                <c:ptCount val="1"/>
                <c:pt idx="0">
                  <c:v>97%tile</c:v>
                </c:pt>
              </c:strCache>
            </c:strRef>
          </c:tx>
          <c:spPr>
            <a:ln w="3175">
              <a:solidFill>
                <a:sysClr val="windowText" lastClr="000000"/>
              </a:solidFill>
              <a:prstDash val="sysDot"/>
            </a:ln>
          </c:spPr>
          <c:marker>
            <c:symbol val="none"/>
          </c:marker>
          <c:dLbls>
            <c:dLbl>
              <c:idx val="209"/>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成長曲線_データ!$AQ$4:$AQ$214</c:f>
              <c:numCache>
                <c:formatCode>General</c:formatCode>
                <c:ptCount val="211"/>
                <c:pt idx="0">
                  <c:v>14.70697391047441</c:v>
                </c:pt>
                <c:pt idx="1">
                  <c:v>16.79446945357292</c:v>
                </c:pt>
                <c:pt idx="2">
                  <c:v>18.17522151869375</c:v>
                </c:pt>
                <c:pt idx="3">
                  <c:v>19.0065408928651</c:v>
                </c:pt>
                <c:pt idx="4">
                  <c:v>19.51406019343451</c:v>
                </c:pt>
                <c:pt idx="5">
                  <c:v>19.7742059834597</c:v>
                </c:pt>
                <c:pt idx="6">
                  <c:v>19.83869291215095</c:v>
                </c:pt>
                <c:pt idx="7">
                  <c:v>19.75900125329081</c:v>
                </c:pt>
                <c:pt idx="8">
                  <c:v>19.58640967249305</c:v>
                </c:pt>
                <c:pt idx="9">
                  <c:v>19.37202813577236</c:v>
                </c:pt>
                <c:pt idx="10">
                  <c:v>19.16412707950205</c:v>
                </c:pt>
                <c:pt idx="11">
                  <c:v>18.97814828910942</c:v>
                </c:pt>
                <c:pt idx="12">
                  <c:v>18.81243008768558</c:v>
                </c:pt>
                <c:pt idx="13">
                  <c:v>18.66574855053179</c:v>
                </c:pt>
                <c:pt idx="14">
                  <c:v>18.53688795740107</c:v>
                </c:pt>
                <c:pt idx="15">
                  <c:v>18.42464007218564</c:v>
                </c:pt>
                <c:pt idx="16">
                  <c:v>18.32780341919908</c:v>
                </c:pt>
                <c:pt idx="17">
                  <c:v>18.24518255700131</c:v>
                </c:pt>
                <c:pt idx="18">
                  <c:v>18.17558735059372</c:v>
                </c:pt>
                <c:pt idx="19">
                  <c:v>18.11783224269123</c:v>
                </c:pt>
                <c:pt idx="20">
                  <c:v>18.07073552465575</c:v>
                </c:pt>
                <c:pt idx="21">
                  <c:v>18.03311860755319</c:v>
                </c:pt>
                <c:pt idx="22">
                  <c:v>18.00380529367445</c:v>
                </c:pt>
                <c:pt idx="23">
                  <c:v>17.98162104874499</c:v>
                </c:pt>
                <c:pt idx="24">
                  <c:v>17.96539227491619</c:v>
                </c:pt>
                <c:pt idx="25">
                  <c:v>17.9539455845293</c:v>
                </c:pt>
                <c:pt idx="26">
                  <c:v>17.94610707451493</c:v>
                </c:pt>
                <c:pt idx="27">
                  <c:v>17.94071471047177</c:v>
                </c:pt>
                <c:pt idx="28">
                  <c:v>17.9371755684505</c:v>
                </c:pt>
                <c:pt idx="29">
                  <c:v>17.93548871861716</c:v>
                </c:pt>
                <c:pt idx="30">
                  <c:v>17.93565047294308</c:v>
                </c:pt>
                <c:pt idx="31">
                  <c:v>17.93765776514362</c:v>
                </c:pt>
                <c:pt idx="32">
                  <c:v>17.94150817823528</c:v>
                </c:pt>
                <c:pt idx="33">
                  <c:v>17.94719997207564</c:v>
                </c:pt>
                <c:pt idx="34">
                  <c:v>17.95473211096885</c:v>
                </c:pt>
                <c:pt idx="35">
                  <c:v>17.96410429142425</c:v>
                </c:pt>
                <c:pt idx="36">
                  <c:v>17.97531697016035</c:v>
                </c:pt>
                <c:pt idx="37">
                  <c:v>17.98837139245144</c:v>
                </c:pt>
                <c:pt idx="38">
                  <c:v>18.00326962091914</c:v>
                </c:pt>
                <c:pt idx="39">
                  <c:v>18.02001456487605</c:v>
                </c:pt>
                <c:pt idx="40">
                  <c:v>18.03861001033443</c:v>
                </c:pt>
                <c:pt idx="41">
                  <c:v>18.05906065079794</c:v>
                </c:pt>
                <c:pt idx="42">
                  <c:v>18.08137211896067</c:v>
                </c:pt>
                <c:pt idx="43">
                  <c:v>18.10555101944384</c:v>
                </c:pt>
                <c:pt idx="44">
                  <c:v>18.13160496270733</c:v>
                </c:pt>
                <c:pt idx="45">
                  <c:v>18.15954260028035</c:v>
                </c:pt>
                <c:pt idx="46">
                  <c:v>18.1893736614634</c:v>
                </c:pt>
                <c:pt idx="47">
                  <c:v>18.22110899166232</c:v>
                </c:pt>
                <c:pt idx="48">
                  <c:v>18.2547605925243</c:v>
                </c:pt>
                <c:pt idx="49">
                  <c:v>18.29034166405609</c:v>
                </c:pt>
                <c:pt idx="50">
                  <c:v>18.3278666489156</c:v>
                </c:pt>
                <c:pt idx="51">
                  <c:v>18.36735127908037</c:v>
                </c:pt>
                <c:pt idx="52">
                  <c:v>18.40881262511001</c:v>
                </c:pt>
                <c:pt idx="53">
                  <c:v>18.45226914823404</c:v>
                </c:pt>
                <c:pt idx="54">
                  <c:v>18.49774075551347</c:v>
                </c:pt>
                <c:pt idx="55">
                  <c:v>18.54524885834202</c:v>
                </c:pt>
                <c:pt idx="56">
                  <c:v>18.5948164345729</c:v>
                </c:pt>
                <c:pt idx="57">
                  <c:v>18.64646809457922</c:v>
                </c:pt>
                <c:pt idx="58">
                  <c:v>18.70023015157993</c:v>
                </c:pt>
                <c:pt idx="59">
                  <c:v>18.75613069659076</c:v>
                </c:pt>
                <c:pt idx="60">
                  <c:v>18.81419967838879</c:v>
                </c:pt>
                <c:pt idx="61">
                  <c:v>18.87446898891276</c:v>
                </c:pt>
                <c:pt idx="62">
                  <c:v>18.9369725545576</c:v>
                </c:pt>
                <c:pt idx="63">
                  <c:v>19.00174643386255</c:v>
                </c:pt>
                <c:pt idx="64">
                  <c:v>19.0688289221375</c:v>
                </c:pt>
                <c:pt idx="65">
                  <c:v>19.13826066362222</c:v>
                </c:pt>
                <c:pt idx="66">
                  <c:v>19.21008477182974</c:v>
                </c:pt>
                <c:pt idx="67">
                  <c:v>19.28434695878707</c:v>
                </c:pt>
                <c:pt idx="68">
                  <c:v>19.36109567395685</c:v>
                </c:pt>
                <c:pt idx="69">
                  <c:v>19.44038130846292</c:v>
                </c:pt>
                <c:pt idx="70">
                  <c:v>19.52165453931303</c:v>
                </c:pt>
                <c:pt idx="71">
                  <c:v>19.60428596257933</c:v>
                </c:pt>
                <c:pt idx="72">
                  <c:v>19.68820923238038</c:v>
                </c:pt>
                <c:pt idx="73">
                  <c:v>19.77335277590689</c:v>
                </c:pt>
                <c:pt idx="74">
                  <c:v>19.85963972234083</c:v>
                </c:pt>
                <c:pt idx="75">
                  <c:v>19.94698786540226</c:v>
                </c:pt>
                <c:pt idx="76">
                  <c:v>20.03530966354337</c:v>
                </c:pt>
                <c:pt idx="77">
                  <c:v>20.1245122817139</c:v>
                </c:pt>
                <c:pt idx="78">
                  <c:v>20.21449767843228</c:v>
                </c:pt>
                <c:pt idx="79">
                  <c:v>20.30516274160399</c:v>
                </c:pt>
                <c:pt idx="80">
                  <c:v>20.39639947612431</c:v>
                </c:pt>
                <c:pt idx="81">
                  <c:v>20.48809524578171</c:v>
                </c:pt>
                <c:pt idx="82">
                  <c:v>20.58013307133841</c:v>
                </c:pt>
                <c:pt idx="83">
                  <c:v>20.67239198590749</c:v>
                </c:pt>
                <c:pt idx="84">
                  <c:v>20.76474744787754</c:v>
                </c:pt>
                <c:pt idx="85">
                  <c:v>20.85707181066626</c:v>
                </c:pt>
                <c:pt idx="86">
                  <c:v>20.94923484753023</c:v>
                </c:pt>
                <c:pt idx="87">
                  <c:v>21.04110432853905</c:v>
                </c:pt>
                <c:pt idx="88">
                  <c:v>21.1325466456646</c:v>
                </c:pt>
                <c:pt idx="89">
                  <c:v>21.22342748077078</c:v>
                </c:pt>
                <c:pt idx="90">
                  <c:v>21.31361556104129</c:v>
                </c:pt>
                <c:pt idx="91">
                  <c:v>21.40332199247487</c:v>
                </c:pt>
                <c:pt idx="92">
                  <c:v>21.49278818572663</c:v>
                </c:pt>
                <c:pt idx="93">
                  <c:v>21.58191587399925</c:v>
                </c:pt>
                <c:pt idx="94">
                  <c:v>21.67061310490218</c:v>
                </c:pt>
                <c:pt idx="95">
                  <c:v>21.75879476730638</c:v>
                </c:pt>
                <c:pt idx="96">
                  <c:v>21.84638305139526</c:v>
                </c:pt>
                <c:pt idx="97">
                  <c:v>21.93330783558883</c:v>
                </c:pt>
                <c:pt idx="98">
                  <c:v>22.01950699543296</c:v>
                </c:pt>
                <c:pt idx="99">
                  <c:v>22.10492663107625</c:v>
                </c:pt>
                <c:pt idx="100">
                  <c:v>22.18952121155069</c:v>
                </c:pt>
                <c:pt idx="101">
                  <c:v>22.27325363568046</c:v>
                </c:pt>
                <c:pt idx="102">
                  <c:v>22.3560952110145</c:v>
                </c:pt>
                <c:pt idx="103">
                  <c:v>22.43802555366612</c:v>
                </c:pt>
                <c:pt idx="104">
                  <c:v>22.51903241330347</c:v>
                </c:pt>
                <c:pt idx="105">
                  <c:v>22.59911142873401</c:v>
                </c:pt>
                <c:pt idx="106">
                  <c:v>22.67826582053578</c:v>
                </c:pt>
                <c:pt idx="107">
                  <c:v>22.75650602798956</c:v>
                </c:pt>
                <c:pt idx="108">
                  <c:v>22.83384929814859</c:v>
                </c:pt>
                <c:pt idx="109">
                  <c:v>22.910319235246</c:v>
                </c:pt>
                <c:pt idx="110">
                  <c:v>22.9859453187902</c:v>
                </c:pt>
                <c:pt idx="111">
                  <c:v>23.06076239864895</c:v>
                </c:pt>
                <c:pt idx="112">
                  <c:v>23.13481017519375</c:v>
                </c:pt>
                <c:pt idx="113">
                  <c:v>23.20813267218961</c:v>
                </c:pt>
                <c:pt idx="114">
                  <c:v>23.28077770959911</c:v>
                </c:pt>
                <c:pt idx="115">
                  <c:v>23.35279638285046</c:v>
                </c:pt>
                <c:pt idx="116">
                  <c:v>23.42424255442559</c:v>
                </c:pt>
                <c:pt idx="117">
                  <c:v>23.49517236288237</c:v>
                </c:pt>
                <c:pt idx="118">
                  <c:v>23.56564375366132</c:v>
                </c:pt>
                <c:pt idx="119">
                  <c:v>23.63571603526151</c:v>
                </c:pt>
                <c:pt idx="120">
                  <c:v>23.70544946362468</c:v>
                </c:pt>
                <c:pt idx="121">
                  <c:v>23.77490485685575</c:v>
                </c:pt>
                <c:pt idx="122">
                  <c:v>23.84414324174442</c:v>
                </c:pt>
                <c:pt idx="123">
                  <c:v>23.91322553294591</c:v>
                </c:pt>
                <c:pt idx="124">
                  <c:v>23.98221224513711</c:v>
                </c:pt>
                <c:pt idx="125">
                  <c:v>24.05116323798716</c:v>
                </c:pt>
                <c:pt idx="126">
                  <c:v>24.12013749337528</c:v>
                </c:pt>
                <c:pt idx="127">
                  <c:v>24.18919292394709</c:v>
                </c:pt>
                <c:pt idx="128">
                  <c:v>24.25838621182561</c:v>
                </c:pt>
                <c:pt idx="129">
                  <c:v>24.32777267607868</c:v>
                </c:pt>
                <c:pt idx="130">
                  <c:v>24.39740616738515</c:v>
                </c:pt>
                <c:pt idx="131">
                  <c:v>24.46733898823565</c:v>
                </c:pt>
                <c:pt idx="132">
                  <c:v>24.5376218369412</c:v>
                </c:pt>
                <c:pt idx="133">
                  <c:v>24.60830377370018</c:v>
                </c:pt>
                <c:pt idx="134">
                  <c:v>24.67943220698599</c:v>
                </c:pt>
                <c:pt idx="135">
                  <c:v>24.75105289855808</c:v>
                </c:pt>
                <c:pt idx="136">
                  <c:v>24.82320998546214</c:v>
                </c:pt>
                <c:pt idx="137">
                  <c:v>24.89594601746898</c:v>
                </c:pt>
                <c:pt idx="138">
                  <c:v>24.96930200849939</c:v>
                </c:pt>
                <c:pt idx="139">
                  <c:v>25.0433175006914</c:v>
                </c:pt>
                <c:pt idx="140">
                  <c:v>25.11803063988404</c:v>
                </c:pt>
                <c:pt idx="141">
                  <c:v>25.19347826141578</c:v>
                </c:pt>
                <c:pt idx="142">
                  <c:v>25.2696959852619</c:v>
                </c:pt>
                <c:pt idx="143">
                  <c:v>25.34671831966488</c:v>
                </c:pt>
                <c:pt idx="144">
                  <c:v>25.42457877254055</c:v>
                </c:pt>
                <c:pt idx="145">
                  <c:v>25.5033099700731</c:v>
                </c:pt>
                <c:pt idx="146">
                  <c:v>25.58294378203973</c:v>
                </c:pt>
                <c:pt idx="147">
                  <c:v>25.663511453534</c:v>
                </c:pt>
                <c:pt idx="148">
                  <c:v>25.74504374288302</c:v>
                </c:pt>
                <c:pt idx="149">
                  <c:v>25.82757106568017</c:v>
                </c:pt>
                <c:pt idx="150">
                  <c:v>25.92190805889597</c:v>
                </c:pt>
                <c:pt idx="151">
                  <c:v>26.0058780299117</c:v>
                </c:pt>
                <c:pt idx="152">
                  <c:v>26.08931857103042</c:v>
                </c:pt>
                <c:pt idx="153">
                  <c:v>26.17216283136797</c:v>
                </c:pt>
                <c:pt idx="154">
                  <c:v>26.25434489182523</c:v>
                </c:pt>
                <c:pt idx="155">
                  <c:v>26.33579961605951</c:v>
                </c:pt>
                <c:pt idx="156">
                  <c:v>26.41646251485662</c:v>
                </c:pt>
                <c:pt idx="157">
                  <c:v>26.49626962283358</c:v>
                </c:pt>
                <c:pt idx="158">
                  <c:v>26.57515738656305</c:v>
                </c:pt>
                <c:pt idx="159">
                  <c:v>26.65306256335174</c:v>
                </c:pt>
                <c:pt idx="160">
                  <c:v>26.72992213002887</c:v>
                </c:pt>
                <c:pt idx="161">
                  <c:v>26.8056732012104</c:v>
                </c:pt>
                <c:pt idx="162">
                  <c:v>26.88025295660177</c:v>
                </c:pt>
                <c:pt idx="163">
                  <c:v>26.95359857698642</c:v>
                </c:pt>
                <c:pt idx="164">
                  <c:v>27.025647188624</c:v>
                </c:pt>
                <c:pt idx="165">
                  <c:v>27.09633581584713</c:v>
                </c:pt>
                <c:pt idx="166">
                  <c:v>27.16560134170479</c:v>
                </c:pt>
                <c:pt idx="167">
                  <c:v>27.2333804765504</c:v>
                </c:pt>
                <c:pt idx="168">
                  <c:v>27.29960973451652</c:v>
                </c:pt>
                <c:pt idx="169">
                  <c:v>27.36422541785464</c:v>
                </c:pt>
                <c:pt idx="170">
                  <c:v>27.42716360914892</c:v>
                </c:pt>
                <c:pt idx="171">
                  <c:v>27.48836017143672</c:v>
                </c:pt>
                <c:pt idx="172">
                  <c:v>27.54775075628654</c:v>
                </c:pt>
                <c:pt idx="173">
                  <c:v>27.60527081989608</c:v>
                </c:pt>
                <c:pt idx="174">
                  <c:v>27.6608556472773</c:v>
                </c:pt>
                <c:pt idx="175">
                  <c:v>27.71444038459605</c:v>
                </c:pt>
                <c:pt idx="176">
                  <c:v>27.7659600797253</c:v>
                </c:pt>
                <c:pt idx="177">
                  <c:v>27.81534973105807</c:v>
                </c:pt>
                <c:pt idx="178">
                  <c:v>27.86254434460531</c:v>
                </c:pt>
                <c:pt idx="179">
                  <c:v>27.90747899937864</c:v>
                </c:pt>
                <c:pt idx="180">
                  <c:v>27.95008892102217</c:v>
                </c:pt>
                <c:pt idx="181">
                  <c:v>27.99030956362026</c:v>
                </c:pt>
                <c:pt idx="182">
                  <c:v>28.02807669955965</c:v>
                </c:pt>
                <c:pt idx="183">
                  <c:v>28.06332651727344</c:v>
                </c:pt>
                <c:pt idx="184">
                  <c:v>28.09599572663413</c:v>
                </c:pt>
                <c:pt idx="185">
                  <c:v>28.12602167170015</c:v>
                </c:pt>
                <c:pt idx="186">
                  <c:v>28.1533424504498</c:v>
                </c:pt>
                <c:pt idx="187">
                  <c:v>28.17789704106262</c:v>
                </c:pt>
                <c:pt idx="188">
                  <c:v>28.19962543423157</c:v>
                </c:pt>
                <c:pt idx="189">
                  <c:v>28.21846877090695</c:v>
                </c:pt>
                <c:pt idx="190">
                  <c:v>28.23436948479219</c:v>
                </c:pt>
                <c:pt idx="191">
                  <c:v>28.24727144882722</c:v>
                </c:pt>
                <c:pt idx="192">
                  <c:v>28.25712012481355</c:v>
                </c:pt>
                <c:pt idx="193">
                  <c:v>28.26386271525334</c:v>
                </c:pt>
                <c:pt idx="194">
                  <c:v>28.26744831639974</c:v>
                </c:pt>
                <c:pt idx="195">
                  <c:v>28.26782807144146</c:v>
                </c:pt>
                <c:pt idx="196">
                  <c:v>28.26495532268195</c:v>
                </c:pt>
                <c:pt idx="197">
                  <c:v>28.2587857615147</c:v>
                </c:pt>
                <c:pt idx="198">
                  <c:v>28.24927757495192</c:v>
                </c:pt>
                <c:pt idx="199">
                  <c:v>28.23639158742706</c:v>
                </c:pt>
                <c:pt idx="200">
                  <c:v>28.22009139657176</c:v>
                </c:pt>
                <c:pt idx="201">
                  <c:v>28.20034350166009</c:v>
                </c:pt>
                <c:pt idx="202">
                  <c:v>28.17711742342132</c:v>
                </c:pt>
                <c:pt idx="203">
                  <c:v>28.15038581394966</c:v>
                </c:pt>
                <c:pt idx="204">
                  <c:v>28.12012455547967</c:v>
                </c:pt>
                <c:pt idx="205">
                  <c:v>28.08631284685934</c:v>
                </c:pt>
                <c:pt idx="206">
                  <c:v>28.04893327662863</c:v>
                </c:pt>
                <c:pt idx="207">
                  <c:v>28.00797188170839</c:v>
                </c:pt>
                <c:pt idx="208">
                  <c:v>27.96341819081605</c:v>
                </c:pt>
                <c:pt idx="209">
                  <c:v>27.91526525185193</c:v>
                </c:pt>
                <c:pt idx="210">
                  <c:v>27.86350964264256</c:v>
                </c:pt>
              </c:numCache>
            </c:numRef>
          </c:yVal>
          <c:smooth val="0"/>
        </c:ser>
        <c:ser>
          <c:idx val="6"/>
          <c:order val="1"/>
          <c:tx>
            <c:strRef>
              <c:f>成長曲線_データ!$AP$2</c:f>
              <c:strCache>
                <c:ptCount val="1"/>
                <c:pt idx="0">
                  <c:v>90%tile</c:v>
                </c:pt>
              </c:strCache>
            </c:strRef>
          </c:tx>
          <c:spPr>
            <a:ln w="6350">
              <a:solidFill>
                <a:schemeClr val="tx1"/>
              </a:solidFill>
            </a:ln>
          </c:spPr>
          <c:marker>
            <c:symbol val="none"/>
          </c:marker>
          <c:dLbls>
            <c:dLbl>
              <c:idx val="209"/>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成長曲線_データ!$AP$4:$AP$214</c:f>
              <c:numCache>
                <c:formatCode>General</c:formatCode>
                <c:ptCount val="211"/>
                <c:pt idx="0">
                  <c:v>14.0183851892159</c:v>
                </c:pt>
                <c:pt idx="1">
                  <c:v>16.01154258636774</c:v>
                </c:pt>
                <c:pt idx="2">
                  <c:v>17.33133044045922</c:v>
                </c:pt>
                <c:pt idx="3">
                  <c:v>18.12731572949705</c:v>
                </c:pt>
                <c:pt idx="4">
                  <c:v>18.6144000413919</c:v>
                </c:pt>
                <c:pt idx="5">
                  <c:v>18.86531481012605</c:v>
                </c:pt>
                <c:pt idx="6">
                  <c:v>18.92928130167255</c:v>
                </c:pt>
                <c:pt idx="7">
                  <c:v>18.85534374743106</c:v>
                </c:pt>
                <c:pt idx="8">
                  <c:v>18.69239241062871</c:v>
                </c:pt>
                <c:pt idx="9">
                  <c:v>18.48918651715787</c:v>
                </c:pt>
                <c:pt idx="10">
                  <c:v>18.29179626383748</c:v>
                </c:pt>
                <c:pt idx="11">
                  <c:v>18.1149682207564</c:v>
                </c:pt>
                <c:pt idx="12">
                  <c:v>17.95712392881438</c:v>
                </c:pt>
                <c:pt idx="13">
                  <c:v>17.81710075172334</c:v>
                </c:pt>
                <c:pt idx="14">
                  <c:v>17.69374205911235</c:v>
                </c:pt>
                <c:pt idx="15">
                  <c:v>17.58589670036631</c:v>
                </c:pt>
                <c:pt idx="16">
                  <c:v>17.49241848108937</c:v>
                </c:pt>
                <c:pt idx="17">
                  <c:v>17.412165642776</c:v>
                </c:pt>
                <c:pt idx="18">
                  <c:v>17.34400034620923</c:v>
                </c:pt>
                <c:pt idx="19">
                  <c:v>17.28678815904289</c:v>
                </c:pt>
                <c:pt idx="20">
                  <c:v>17.23939754796444</c:v>
                </c:pt>
                <c:pt idx="21">
                  <c:v>17.20069937577601</c:v>
                </c:pt>
                <c:pt idx="22">
                  <c:v>17.16956640367555</c:v>
                </c:pt>
                <c:pt idx="23">
                  <c:v>17.14487279896057</c:v>
                </c:pt>
                <c:pt idx="24">
                  <c:v>17.125493648335</c:v>
                </c:pt>
                <c:pt idx="25">
                  <c:v>17.11030447693754</c:v>
                </c:pt>
                <c:pt idx="26">
                  <c:v>17.09818077317286</c:v>
                </c:pt>
                <c:pt idx="27">
                  <c:v>17.08801000559732</c:v>
                </c:pt>
                <c:pt idx="28">
                  <c:v>17.0792224184665</c:v>
                </c:pt>
                <c:pt idx="29">
                  <c:v>17.07181211953685</c:v>
                </c:pt>
                <c:pt idx="30">
                  <c:v>17.06577025791747</c:v>
                </c:pt>
                <c:pt idx="31">
                  <c:v>17.06108822281938</c:v>
                </c:pt>
                <c:pt idx="32">
                  <c:v>17.05775764786562</c:v>
                </c:pt>
                <c:pt idx="33">
                  <c:v>17.0557704148706</c:v>
                </c:pt>
                <c:pt idx="34">
                  <c:v>17.05511865710059</c:v>
                </c:pt>
                <c:pt idx="35">
                  <c:v>17.05579476202615</c:v>
                </c:pt>
                <c:pt idx="36">
                  <c:v>17.05779137357748</c:v>
                </c:pt>
                <c:pt idx="37">
                  <c:v>17.06110139391218</c:v>
                </c:pt>
                <c:pt idx="38">
                  <c:v>17.06571798470492</c:v>
                </c:pt>
                <c:pt idx="39">
                  <c:v>17.07163456796671</c:v>
                </c:pt>
                <c:pt idx="40">
                  <c:v>17.07884482640084</c:v>
                </c:pt>
                <c:pt idx="41">
                  <c:v>17.0873427033012</c:v>
                </c:pt>
                <c:pt idx="42">
                  <c:v>17.09712240199713</c:v>
                </c:pt>
                <c:pt idx="43">
                  <c:v>17.10817838484765</c:v>
                </c:pt>
                <c:pt idx="44">
                  <c:v>17.12050537178608</c:v>
                </c:pt>
                <c:pt idx="45">
                  <c:v>17.13409833841443</c:v>
                </c:pt>
                <c:pt idx="46">
                  <c:v>17.14895251364501</c:v>
                </c:pt>
                <c:pt idx="47">
                  <c:v>17.1650633768845</c:v>
                </c:pt>
                <c:pt idx="48">
                  <c:v>17.18242665475388</c:v>
                </c:pt>
                <c:pt idx="49">
                  <c:v>17.20103831733504</c:v>
                </c:pt>
                <c:pt idx="50">
                  <c:v>17.22089457393246</c:v>
                </c:pt>
                <c:pt idx="51">
                  <c:v>17.24199186833601</c:v>
                </c:pt>
                <c:pt idx="52">
                  <c:v>17.26432687356783</c:v>
                </c:pt>
                <c:pt idx="53">
                  <c:v>17.28789648609362</c:v>
                </c:pt>
                <c:pt idx="54">
                  <c:v>17.31269781947544</c:v>
                </c:pt>
                <c:pt idx="55">
                  <c:v>17.33872819743993</c:v>
                </c:pt>
                <c:pt idx="56">
                  <c:v>17.3659851463323</c:v>
                </c:pt>
                <c:pt idx="57">
                  <c:v>17.39446638692312</c:v>
                </c:pt>
                <c:pt idx="58">
                  <c:v>17.42416982553049</c:v>
                </c:pt>
                <c:pt idx="59">
                  <c:v>17.45509354441685</c:v>
                </c:pt>
                <c:pt idx="60">
                  <c:v>17.48723579141458</c:v>
                </c:pt>
                <c:pt idx="61">
                  <c:v>17.52059496873061</c:v>
                </c:pt>
                <c:pt idx="62">
                  <c:v>17.55516962087493</c:v>
                </c:pt>
                <c:pt idx="63">
                  <c:v>17.59095842165307</c:v>
                </c:pt>
                <c:pt idx="64">
                  <c:v>17.627960160157</c:v>
                </c:pt>
                <c:pt idx="65">
                  <c:v>17.66617372568308</c:v>
                </c:pt>
                <c:pt idx="66">
                  <c:v>17.70559809149992</c:v>
                </c:pt>
                <c:pt idx="67">
                  <c:v>17.74623229738197</c:v>
                </c:pt>
                <c:pt idx="68">
                  <c:v>17.78807543081842</c:v>
                </c:pt>
                <c:pt idx="69">
                  <c:v>17.83112627772145</c:v>
                </c:pt>
                <c:pt idx="70">
                  <c:v>17.87517579028392</c:v>
                </c:pt>
                <c:pt idx="71">
                  <c:v>17.9199944921906</c:v>
                </c:pt>
                <c:pt idx="72">
                  <c:v>17.96555136749033</c:v>
                </c:pt>
                <c:pt idx="73">
                  <c:v>18.0118141990981</c:v>
                </c:pt>
                <c:pt idx="74">
                  <c:v>18.05874959340433</c:v>
                </c:pt>
                <c:pt idx="75">
                  <c:v>18.10632301204986</c:v>
                </c:pt>
                <c:pt idx="76">
                  <c:v>18.1544988111182</c:v>
                </c:pt>
                <c:pt idx="77">
                  <c:v>18.20324028793788</c:v>
                </c:pt>
                <c:pt idx="78">
                  <c:v>18.25250973562143</c:v>
                </c:pt>
                <c:pt idx="79">
                  <c:v>18.30226850539433</c:v>
                </c:pt>
                <c:pt idx="80">
                  <c:v>18.35247707668696</c:v>
                </c:pt>
                <c:pt idx="81">
                  <c:v>18.40309513487737</c:v>
                </c:pt>
                <c:pt idx="82">
                  <c:v>18.4540816564819</c:v>
                </c:pt>
                <c:pt idx="83">
                  <c:v>18.50539500149691</c:v>
                </c:pt>
                <c:pt idx="84">
                  <c:v>18.55699301249848</c:v>
                </c:pt>
                <c:pt idx="85">
                  <c:v>18.60883312001024</c:v>
                </c:pt>
                <c:pt idx="86">
                  <c:v>18.66087245355331</c:v>
                </c:pt>
                <c:pt idx="87">
                  <c:v>18.71306795769974</c:v>
                </c:pt>
                <c:pt idx="88">
                  <c:v>18.76537651236143</c:v>
                </c:pt>
                <c:pt idx="89">
                  <c:v>18.81775505646581</c:v>
                </c:pt>
                <c:pt idx="90">
                  <c:v>18.8701604117346</c:v>
                </c:pt>
                <c:pt idx="91">
                  <c:v>18.92299947167426</c:v>
                </c:pt>
                <c:pt idx="92">
                  <c:v>18.97668447779481</c:v>
                </c:pt>
                <c:pt idx="93">
                  <c:v>19.03118271941167</c:v>
                </c:pt>
                <c:pt idx="94">
                  <c:v>19.08646283599302</c:v>
                </c:pt>
                <c:pt idx="95">
                  <c:v>19.14249487461091</c:v>
                </c:pt>
                <c:pt idx="96">
                  <c:v>19.19925033800961</c:v>
                </c:pt>
                <c:pt idx="97">
                  <c:v>19.25670222305096</c:v>
                </c:pt>
                <c:pt idx="98">
                  <c:v>19.31482504941082</c:v>
                </c:pt>
                <c:pt idx="99">
                  <c:v>19.37359487851355</c:v>
                </c:pt>
                <c:pt idx="100">
                  <c:v>19.43298932280295</c:v>
                </c:pt>
                <c:pt idx="101">
                  <c:v>19.49298754555473</c:v>
                </c:pt>
                <c:pt idx="102">
                  <c:v>19.55357025153582</c:v>
                </c:pt>
                <c:pt idx="103">
                  <c:v>19.61471966890879</c:v>
                </c:pt>
                <c:pt idx="104">
                  <c:v>19.67641952286252</c:v>
                </c:pt>
                <c:pt idx="105">
                  <c:v>19.73865500152339</c:v>
                </c:pt>
                <c:pt idx="106">
                  <c:v>19.80141271476289</c:v>
                </c:pt>
                <c:pt idx="107">
                  <c:v>19.86468064656732</c:v>
                </c:pt>
                <c:pt idx="108">
                  <c:v>19.9284481016735</c:v>
                </c:pt>
                <c:pt idx="109">
                  <c:v>19.99270564719998</c:v>
                </c:pt>
                <c:pt idx="110">
                  <c:v>20.05744505001816</c:v>
                </c:pt>
                <c:pt idx="111">
                  <c:v>20.12265921061056</c:v>
                </c:pt>
                <c:pt idx="112">
                  <c:v>20.18834209415709</c:v>
                </c:pt>
                <c:pt idx="113">
                  <c:v>20.25448865957302</c:v>
                </c:pt>
                <c:pt idx="114">
                  <c:v>20.32109478719812</c:v>
                </c:pt>
                <c:pt idx="115">
                  <c:v>20.38815720580391</c:v>
                </c:pt>
                <c:pt idx="116">
                  <c:v>20.45567341954775</c:v>
                </c:pt>
                <c:pt idx="117">
                  <c:v>20.5236416354592</c:v>
                </c:pt>
                <c:pt idx="118">
                  <c:v>20.59206069199703</c:v>
                </c:pt>
                <c:pt idx="119">
                  <c:v>20.66092998916527</c:v>
                </c:pt>
                <c:pt idx="120">
                  <c:v>20.7302494206256</c:v>
                </c:pt>
                <c:pt idx="121">
                  <c:v>20.80001930819089</c:v>
                </c:pt>
                <c:pt idx="122">
                  <c:v>20.87024033903323</c:v>
                </c:pt>
                <c:pt idx="123">
                  <c:v>20.94091350588889</c:v>
                </c:pt>
                <c:pt idx="124">
                  <c:v>21.01204005049335</c:v>
                </c:pt>
                <c:pt idx="125">
                  <c:v>21.08362141043303</c:v>
                </c:pt>
                <c:pt idx="126">
                  <c:v>21.15565916955616</c:v>
                </c:pt>
                <c:pt idx="127">
                  <c:v>21.22815501204403</c:v>
                </c:pt>
                <c:pt idx="128">
                  <c:v>21.30111068020665</c:v>
                </c:pt>
                <c:pt idx="129">
                  <c:v>21.37452793603244</c:v>
                </c:pt>
                <c:pt idx="130">
                  <c:v>21.4484085264912</c:v>
                </c:pt>
                <c:pt idx="131">
                  <c:v>21.52275415256281</c:v>
                </c:pt>
                <c:pt idx="132">
                  <c:v>21.59756644194097</c:v>
                </c:pt>
                <c:pt idx="133">
                  <c:v>21.67284692534138</c:v>
                </c:pt>
                <c:pt idx="134">
                  <c:v>21.74859701632764</c:v>
                </c:pt>
                <c:pt idx="135">
                  <c:v>21.82481799455514</c:v>
                </c:pt>
                <c:pt idx="136">
                  <c:v>21.90151099232274</c:v>
                </c:pt>
                <c:pt idx="137">
                  <c:v>21.97867698431527</c:v>
                </c:pt>
                <c:pt idx="138">
                  <c:v>22.05631678041507</c:v>
                </c:pt>
                <c:pt idx="139">
                  <c:v>22.13443102145848</c:v>
                </c:pt>
                <c:pt idx="140">
                  <c:v>22.21302017781315</c:v>
                </c:pt>
                <c:pt idx="141">
                  <c:v>22.29208455065408</c:v>
                </c:pt>
                <c:pt idx="142">
                  <c:v>22.37162427582005</c:v>
                </c:pt>
                <c:pt idx="143">
                  <c:v>22.4516393301368</c:v>
                </c:pt>
                <c:pt idx="144">
                  <c:v>22.53212954010078</c:v>
                </c:pt>
                <c:pt idx="145">
                  <c:v>22.6130945928246</c:v>
                </c:pt>
                <c:pt idx="146">
                  <c:v>22.69453404915447</c:v>
                </c:pt>
                <c:pt idx="147">
                  <c:v>22.77644735888011</c:v>
                </c:pt>
                <c:pt idx="148">
                  <c:v>22.85883387796823</c:v>
                </c:pt>
                <c:pt idx="149">
                  <c:v>22.94169288776253</c:v>
                </c:pt>
                <c:pt idx="150">
                  <c:v>23.03460224937213</c:v>
                </c:pt>
                <c:pt idx="151">
                  <c:v>23.11776726114208</c:v>
                </c:pt>
                <c:pt idx="152">
                  <c:v>23.19985876399118</c:v>
                </c:pt>
                <c:pt idx="153">
                  <c:v>23.28084598043836</c:v>
                </c:pt>
                <c:pt idx="154">
                  <c:v>23.36069808029505</c:v>
                </c:pt>
                <c:pt idx="155">
                  <c:v>23.43938417218904</c:v>
                </c:pt>
                <c:pt idx="156">
                  <c:v>23.51687329647852</c:v>
                </c:pt>
                <c:pt idx="157">
                  <c:v>23.5931344195431</c:v>
                </c:pt>
                <c:pt idx="158">
                  <c:v>23.66813642944371</c:v>
                </c:pt>
                <c:pt idx="159">
                  <c:v>23.74184813294828</c:v>
                </c:pt>
                <c:pt idx="160">
                  <c:v>23.81423825392359</c:v>
                </c:pt>
                <c:pt idx="161">
                  <c:v>23.88527543309758</c:v>
                </c:pt>
                <c:pt idx="162">
                  <c:v>23.95492822919901</c:v>
                </c:pt>
                <c:pt idx="163">
                  <c:v>24.02316512148323</c:v>
                </c:pt>
                <c:pt idx="164">
                  <c:v>24.0899545136553</c:v>
                </c:pt>
                <c:pt idx="165">
                  <c:v>24.15526473920157</c:v>
                </c:pt>
                <c:pt idx="166">
                  <c:v>24.21906406814225</c:v>
                </c:pt>
                <c:pt idx="167">
                  <c:v>24.28132071521679</c:v>
                </c:pt>
                <c:pt idx="168">
                  <c:v>24.34200284951334</c:v>
                </c:pt>
                <c:pt idx="169">
                  <c:v>24.40107860555216</c:v>
                </c:pt>
                <c:pt idx="170">
                  <c:v>24.45851609583072</c:v>
                </c:pt>
                <c:pt idx="171">
                  <c:v>24.51428342483597</c:v>
                </c:pt>
                <c:pt idx="172">
                  <c:v>24.56834870452554</c:v>
                </c:pt>
                <c:pt idx="173">
                  <c:v>24.62068007127642</c:v>
                </c:pt>
                <c:pt idx="174">
                  <c:v>24.67124570429436</c:v>
                </c:pt>
                <c:pt idx="175">
                  <c:v>24.72001384547306</c:v>
                </c:pt>
                <c:pt idx="176">
                  <c:v>24.76695282068568</c:v>
                </c:pt>
                <c:pt idx="177">
                  <c:v>24.8120310624853</c:v>
                </c:pt>
                <c:pt idx="178">
                  <c:v>24.85521713418391</c:v>
                </c:pt>
                <c:pt idx="179">
                  <c:v>24.89647975527235</c:v>
                </c:pt>
                <c:pt idx="180">
                  <c:v>24.9357878281348</c:v>
                </c:pt>
                <c:pt idx="181">
                  <c:v>24.97311046600404</c:v>
                </c:pt>
                <c:pt idx="182">
                  <c:v>25.00841702209376</c:v>
                </c:pt>
                <c:pt idx="183">
                  <c:v>25.04167711983557</c:v>
                </c:pt>
                <c:pt idx="184">
                  <c:v>25.07286068413831</c:v>
                </c:pt>
                <c:pt idx="185">
                  <c:v>25.1019379735777</c:v>
                </c:pt>
                <c:pt idx="186">
                  <c:v>25.12887961341408</c:v>
                </c:pt>
                <c:pt idx="187">
                  <c:v>25.15365662932578</c:v>
                </c:pt>
                <c:pt idx="188">
                  <c:v>25.17624048173624</c:v>
                </c:pt>
                <c:pt idx="189">
                  <c:v>25.19660310060215</c:v>
                </c:pt>
                <c:pt idx="190">
                  <c:v>25.21471692052095</c:v>
                </c:pt>
                <c:pt idx="191">
                  <c:v>25.23055491600629</c:v>
                </c:pt>
                <c:pt idx="192">
                  <c:v>25.24409063677151</c:v>
                </c:pt>
                <c:pt idx="193">
                  <c:v>25.25529824285289</c:v>
                </c:pt>
                <c:pt idx="194">
                  <c:v>25.26415253939734</c:v>
                </c:pt>
                <c:pt idx="195">
                  <c:v>25.27062901093214</c:v>
                </c:pt>
                <c:pt idx="196">
                  <c:v>25.27470385492975</c:v>
                </c:pt>
                <c:pt idx="197">
                  <c:v>25.27635401447553</c:v>
                </c:pt>
                <c:pt idx="198">
                  <c:v>25.2755572098442</c:v>
                </c:pt>
                <c:pt idx="199">
                  <c:v>25.27229196878821</c:v>
                </c:pt>
                <c:pt idx="200">
                  <c:v>25.26653765534222</c:v>
                </c:pt>
                <c:pt idx="201">
                  <c:v>25.25827449694858</c:v>
                </c:pt>
                <c:pt idx="202">
                  <c:v>25.24748360971216</c:v>
                </c:pt>
                <c:pt idx="203">
                  <c:v>25.23414702159797</c:v>
                </c:pt>
                <c:pt idx="204">
                  <c:v>25.21824769339125</c:v>
                </c:pt>
                <c:pt idx="205">
                  <c:v>25.19976953724854</c:v>
                </c:pt>
                <c:pt idx="206">
                  <c:v>25.17869743267807</c:v>
                </c:pt>
                <c:pt idx="207">
                  <c:v>25.15501723979981</c:v>
                </c:pt>
                <c:pt idx="208">
                  <c:v>25.12871580974931</c:v>
                </c:pt>
                <c:pt idx="209">
                  <c:v>25.09978099210407</c:v>
                </c:pt>
                <c:pt idx="210">
                  <c:v>25.06820163922843</c:v>
                </c:pt>
              </c:numCache>
            </c:numRef>
          </c:yVal>
          <c:smooth val="0"/>
        </c:ser>
        <c:ser>
          <c:idx val="5"/>
          <c:order val="2"/>
          <c:tx>
            <c:strRef>
              <c:f>成長曲線_データ!$AO$2</c:f>
              <c:strCache>
                <c:ptCount val="1"/>
                <c:pt idx="0">
                  <c:v>75%tile</c:v>
                </c:pt>
              </c:strCache>
            </c:strRef>
          </c:tx>
          <c:spPr>
            <a:ln w="3175">
              <a:solidFill>
                <a:sysClr val="windowText" lastClr="000000"/>
              </a:solidFill>
              <a:prstDash val="sysDot"/>
            </a:ln>
          </c:spPr>
          <c:marker>
            <c:symbol val="none"/>
          </c:marker>
          <c:dLbls>
            <c:dLbl>
              <c:idx val="209"/>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成長曲線_データ!$AO$4:$AO$214</c:f>
              <c:numCache>
                <c:formatCode>General</c:formatCode>
                <c:ptCount val="211"/>
                <c:pt idx="0">
                  <c:v>13.32778471911573</c:v>
                </c:pt>
                <c:pt idx="1">
                  <c:v>15.2277313351933</c:v>
                </c:pt>
                <c:pt idx="2">
                  <c:v>16.48798460474011</c:v>
                </c:pt>
                <c:pt idx="3">
                  <c:v>17.2502073318643</c:v>
                </c:pt>
                <c:pt idx="4">
                  <c:v>17.71847954718391</c:v>
                </c:pt>
                <c:pt idx="5">
                  <c:v>17.96178227902464</c:v>
                </c:pt>
                <c:pt idx="6">
                  <c:v>18.02680558880374</c:v>
                </c:pt>
                <c:pt idx="7">
                  <c:v>17.96013710309223</c:v>
                </c:pt>
                <c:pt idx="8">
                  <c:v>17.80827465859143</c:v>
                </c:pt>
                <c:pt idx="9">
                  <c:v>17.6176387439366</c:v>
                </c:pt>
                <c:pt idx="10">
                  <c:v>17.43212525860957</c:v>
                </c:pt>
                <c:pt idx="11">
                  <c:v>17.26580212699512</c:v>
                </c:pt>
                <c:pt idx="12">
                  <c:v>17.11718142709708</c:v>
                </c:pt>
                <c:pt idx="13">
                  <c:v>16.9851689549414</c:v>
                </c:pt>
                <c:pt idx="14">
                  <c:v>16.86867392675325</c:v>
                </c:pt>
                <c:pt idx="15">
                  <c:v>16.76660868093549</c:v>
                </c:pt>
                <c:pt idx="16">
                  <c:v>16.67788838447565</c:v>
                </c:pt>
                <c:pt idx="17">
                  <c:v>16.60143074398894</c:v>
                </c:pt>
                <c:pt idx="18">
                  <c:v>16.53615572158476</c:v>
                </c:pt>
                <c:pt idx="19">
                  <c:v>16.48098525572352</c:v>
                </c:pt>
                <c:pt idx="20">
                  <c:v>16.43484298721193</c:v>
                </c:pt>
                <c:pt idx="21">
                  <c:v>16.39665399046822</c:v>
                </c:pt>
                <c:pt idx="22">
                  <c:v>16.36534451016853</c:v>
                </c:pt>
                <c:pt idx="23">
                  <c:v>16.3398417033766</c:v>
                </c:pt>
                <c:pt idx="24">
                  <c:v>16.31907338723581</c:v>
                </c:pt>
                <c:pt idx="25">
                  <c:v>16.30196779229763</c:v>
                </c:pt>
                <c:pt idx="26">
                  <c:v>16.28745332154292</c:v>
                </c:pt>
                <c:pt idx="27">
                  <c:v>16.27447020690955</c:v>
                </c:pt>
                <c:pt idx="28">
                  <c:v>16.26247612027215</c:v>
                </c:pt>
                <c:pt idx="29">
                  <c:v>16.25146582783394</c:v>
                </c:pt>
                <c:pt idx="30">
                  <c:v>16.24143114293539</c:v>
                </c:pt>
                <c:pt idx="31">
                  <c:v>16.23236396743942</c:v>
                </c:pt>
                <c:pt idx="32">
                  <c:v>16.22425629045503</c:v>
                </c:pt>
                <c:pt idx="33">
                  <c:v>16.2171001868581</c:v>
                </c:pt>
                <c:pt idx="34">
                  <c:v>16.21088781561361</c:v>
                </c:pt>
                <c:pt idx="35">
                  <c:v>16.20561141790285</c:v>
                </c:pt>
                <c:pt idx="36">
                  <c:v>16.20126331505945</c:v>
                </c:pt>
                <c:pt idx="37">
                  <c:v>16.19783590631752</c:v>
                </c:pt>
                <c:pt idx="38">
                  <c:v>16.1953216663751</c:v>
                </c:pt>
                <c:pt idx="39">
                  <c:v>16.19371314277604</c:v>
                </c:pt>
                <c:pt idx="40">
                  <c:v>16.19300295311285</c:v>
                </c:pt>
                <c:pt idx="41">
                  <c:v>16.19318378205315</c:v>
                </c:pt>
                <c:pt idx="42">
                  <c:v>16.19424837819187</c:v>
                </c:pt>
                <c:pt idx="43">
                  <c:v>16.19618955073116</c:v>
                </c:pt>
                <c:pt idx="44">
                  <c:v>16.19900016598977</c:v>
                </c:pt>
                <c:pt idx="45">
                  <c:v>16.20267314374327</c:v>
                </c:pt>
                <c:pt idx="46">
                  <c:v>16.20720145339626</c:v>
                </c:pt>
                <c:pt idx="47">
                  <c:v>16.21257810998751</c:v>
                </c:pt>
                <c:pt idx="48">
                  <c:v>16.21879617002859</c:v>
                </c:pt>
                <c:pt idx="49">
                  <c:v>16.22584872717643</c:v>
                </c:pt>
                <c:pt idx="50">
                  <c:v>16.2337289077398</c:v>
                </c:pt>
                <c:pt idx="51">
                  <c:v>16.24242986601971</c:v>
                </c:pt>
                <c:pt idx="52">
                  <c:v>16.25194477948325</c:v>
                </c:pt>
                <c:pt idx="53">
                  <c:v>16.26226684377018</c:v>
                </c:pt>
                <c:pt idx="54">
                  <c:v>16.27338926753172</c:v>
                </c:pt>
                <c:pt idx="55">
                  <c:v>16.28530526710014</c:v>
                </c:pt>
                <c:pt idx="56">
                  <c:v>16.29800806098817</c:v>
                </c:pt>
                <c:pt idx="57">
                  <c:v>16.31149086421688</c:v>
                </c:pt>
                <c:pt idx="58">
                  <c:v>16.32574688247015</c:v>
                </c:pt>
                <c:pt idx="59">
                  <c:v>16.34076930607448</c:v>
                </c:pt>
                <c:pt idx="60">
                  <c:v>16.3565513038021</c:v>
                </c:pt>
                <c:pt idx="61">
                  <c:v>16.37308601649544</c:v>
                </c:pt>
                <c:pt idx="62">
                  <c:v>16.39036655051146</c:v>
                </c:pt>
                <c:pt idx="63">
                  <c:v>16.40838597098326</c:v>
                </c:pt>
                <c:pt idx="64">
                  <c:v>16.42713729489774</c:v>
                </c:pt>
                <c:pt idx="65">
                  <c:v>16.44661348398676</c:v>
                </c:pt>
                <c:pt idx="66">
                  <c:v>16.46680743743061</c:v>
                </c:pt>
                <c:pt idx="67">
                  <c:v>16.48771198437159</c:v>
                </c:pt>
                <c:pt idx="68">
                  <c:v>16.50931987623659</c:v>
                </c:pt>
                <c:pt idx="69">
                  <c:v>16.53162370817938</c:v>
                </c:pt>
                <c:pt idx="70">
                  <c:v>16.55457165516522</c:v>
                </c:pt>
                <c:pt idx="71">
                  <c:v>16.5781087331828</c:v>
                </c:pt>
                <c:pt idx="72">
                  <c:v>16.60222296289994</c:v>
                </c:pt>
                <c:pt idx="73">
                  <c:v>16.62690217824789</c:v>
                </c:pt>
                <c:pt idx="74">
                  <c:v>16.65213403265707</c:v>
                </c:pt>
                <c:pt idx="75">
                  <c:v>16.67790600603637</c:v>
                </c:pt>
                <c:pt idx="76">
                  <c:v>16.70420541249261</c:v>
                </c:pt>
                <c:pt idx="77">
                  <c:v>16.73101940878118</c:v>
                </c:pt>
                <c:pt idx="78">
                  <c:v>16.75833500347326</c:v>
                </c:pt>
                <c:pt idx="79">
                  <c:v>16.78613906681918</c:v>
                </c:pt>
                <c:pt idx="80">
                  <c:v>16.81441834128126</c:v>
                </c:pt>
                <c:pt idx="81">
                  <c:v>16.84315945270416</c:v>
                </c:pt>
                <c:pt idx="82">
                  <c:v>16.87234892208444</c:v>
                </c:pt>
                <c:pt idx="83">
                  <c:v>16.90197317789538</c:v>
                </c:pt>
                <c:pt idx="84">
                  <c:v>16.93201856891784</c:v>
                </c:pt>
                <c:pt idx="85">
                  <c:v>16.96247137752212</c:v>
                </c:pt>
                <c:pt idx="86">
                  <c:v>16.99331783334119</c:v>
                </c:pt>
                <c:pt idx="87">
                  <c:v>17.0245441272706</c:v>
                </c:pt>
                <c:pt idx="88">
                  <c:v>17.05613642572627</c:v>
                </c:pt>
                <c:pt idx="89">
                  <c:v>17.08808088508763</c:v>
                </c:pt>
                <c:pt idx="90">
                  <c:v>17.12036167748492</c:v>
                </c:pt>
                <c:pt idx="91">
                  <c:v>17.15345453712107</c:v>
                </c:pt>
                <c:pt idx="92">
                  <c:v>17.18782578140667</c:v>
                </c:pt>
                <c:pt idx="93">
                  <c:v>17.22345617847537</c:v>
                </c:pt>
                <c:pt idx="94">
                  <c:v>17.2603266097148</c:v>
                </c:pt>
                <c:pt idx="95">
                  <c:v>17.29841807518604</c:v>
                </c:pt>
                <c:pt idx="96">
                  <c:v>17.33771169835012</c:v>
                </c:pt>
                <c:pt idx="97">
                  <c:v>17.37818873010515</c:v>
                </c:pt>
                <c:pt idx="98">
                  <c:v>17.41983055214179</c:v>
                </c:pt>
                <c:pt idx="99">
                  <c:v>17.46261867962812</c:v>
                </c:pt>
                <c:pt idx="100">
                  <c:v>17.50653476323895</c:v>
                </c:pt>
                <c:pt idx="101">
                  <c:v>17.5515605905476</c:v>
                </c:pt>
                <c:pt idx="102">
                  <c:v>17.59767808680143</c:v>
                </c:pt>
                <c:pt idx="103">
                  <c:v>17.64486931510538</c:v>
                </c:pt>
                <c:pt idx="104">
                  <c:v>17.69311647604018</c:v>
                </c:pt>
                <c:pt idx="105">
                  <c:v>17.7424019067442</c:v>
                </c:pt>
                <c:pt idx="106">
                  <c:v>17.79270807949009</c:v>
                </c:pt>
                <c:pt idx="107">
                  <c:v>17.84401759978884</c:v>
                </c:pt>
                <c:pt idx="108">
                  <c:v>17.89631320405515</c:v>
                </c:pt>
                <c:pt idx="109">
                  <c:v>17.94957775686947</c:v>
                </c:pt>
                <c:pt idx="110">
                  <c:v>18.00379424787225</c:v>
                </c:pt>
                <c:pt idx="111">
                  <c:v>18.05894578832676</c:v>
                </c:pt>
                <c:pt idx="112">
                  <c:v>18.11501560738688</c:v>
                </c:pt>
                <c:pt idx="113">
                  <c:v>18.17198704810602</c:v>
                </c:pt>
                <c:pt idx="114">
                  <c:v>18.22984356322306</c:v>
                </c:pt>
                <c:pt idx="115">
                  <c:v>18.28856871076059</c:v>
                </c:pt>
                <c:pt idx="116">
                  <c:v>18.34814614946981</c:v>
                </c:pt>
                <c:pt idx="117">
                  <c:v>18.40855963415533</c:v>
                </c:pt>
                <c:pt idx="118">
                  <c:v>18.46979301091231</c:v>
                </c:pt>
                <c:pt idx="119">
                  <c:v>18.53183021230635</c:v>
                </c:pt>
                <c:pt idx="120">
                  <c:v>18.59465525252588</c:v>
                </c:pt>
                <c:pt idx="121">
                  <c:v>18.65825222253435</c:v>
                </c:pt>
                <c:pt idx="122">
                  <c:v>18.72260528524875</c:v>
                </c:pt>
                <c:pt idx="123">
                  <c:v>18.78769867076839</c:v>
                </c:pt>
                <c:pt idx="124">
                  <c:v>18.85351667167692</c:v>
                </c:pt>
                <c:pt idx="125">
                  <c:v>18.92004363843819</c:v>
                </c:pt>
                <c:pt idx="126">
                  <c:v>18.98726397490506</c:v>
                </c:pt>
                <c:pt idx="127">
                  <c:v>19.05516213395855</c:v>
                </c:pt>
                <c:pt idx="128">
                  <c:v>19.1237226132927</c:v>
                </c:pt>
                <c:pt idx="129">
                  <c:v>19.19292995135922</c:v>
                </c:pt>
                <c:pt idx="130">
                  <c:v>19.26276872348405</c:v>
                </c:pt>
                <c:pt idx="131">
                  <c:v>19.33322353816638</c:v>
                </c:pt>
                <c:pt idx="132">
                  <c:v>19.40427903356961</c:v>
                </c:pt>
                <c:pt idx="133">
                  <c:v>19.47591987421158</c:v>
                </c:pt>
                <c:pt idx="134">
                  <c:v>19.54813074786077</c:v>
                </c:pt>
                <c:pt idx="135">
                  <c:v>19.62089636264351</c:v>
                </c:pt>
                <c:pt idx="136">
                  <c:v>19.69420144436615</c:v>
                </c:pt>
                <c:pt idx="137">
                  <c:v>19.76803073405519</c:v>
                </c:pt>
                <c:pt idx="138">
                  <c:v>19.84236898571727</c:v>
                </c:pt>
                <c:pt idx="139">
                  <c:v>19.91720096432024</c:v>
                </c:pt>
                <c:pt idx="140">
                  <c:v>19.9925114439954</c:v>
                </c:pt>
                <c:pt idx="141">
                  <c:v>20.06828520646069</c:v>
                </c:pt>
                <c:pt idx="142">
                  <c:v>20.14450703966401</c:v>
                </c:pt>
                <c:pt idx="143">
                  <c:v>20.22116173664476</c:v>
                </c:pt>
                <c:pt idx="144">
                  <c:v>20.29823409461223</c:v>
                </c:pt>
                <c:pt idx="145">
                  <c:v>20.37570891423827</c:v>
                </c:pt>
                <c:pt idx="146">
                  <c:v>20.45357099916196</c:v>
                </c:pt>
                <c:pt idx="147">
                  <c:v>20.5318051557035</c:v>
                </c:pt>
                <c:pt idx="148">
                  <c:v>20.61039619278466</c:v>
                </c:pt>
                <c:pt idx="149">
                  <c:v>20.68932892205301</c:v>
                </c:pt>
                <c:pt idx="150">
                  <c:v>20.77722616819315</c:v>
                </c:pt>
                <c:pt idx="151">
                  <c:v>20.85619314629487</c:v>
                </c:pt>
                <c:pt idx="152">
                  <c:v>20.93401775337924</c:v>
                </c:pt>
                <c:pt idx="153">
                  <c:v>21.01068142164993</c:v>
                </c:pt>
                <c:pt idx="154">
                  <c:v>21.08616555173884</c:v>
                </c:pt>
                <c:pt idx="155">
                  <c:v>21.16045151591077</c:v>
                </c:pt>
                <c:pt idx="156">
                  <c:v>21.23352066136934</c:v>
                </c:pt>
                <c:pt idx="157">
                  <c:v>21.30535431366728</c:v>
                </c:pt>
                <c:pt idx="158">
                  <c:v>21.37593378022399</c:v>
                </c:pt>
                <c:pt idx="159">
                  <c:v>21.44524035395276</c:v>
                </c:pt>
                <c:pt idx="160">
                  <c:v>21.51325531699965</c:v>
                </c:pt>
                <c:pt idx="161">
                  <c:v>21.57995994459529</c:v>
                </c:pt>
                <c:pt idx="162">
                  <c:v>21.64533550902091</c:v>
                </c:pt>
                <c:pt idx="163">
                  <c:v>21.70936328368857</c:v>
                </c:pt>
                <c:pt idx="164">
                  <c:v>21.77202454733609</c:v>
                </c:pt>
                <c:pt idx="165">
                  <c:v>21.83330058833531</c:v>
                </c:pt>
                <c:pt idx="166">
                  <c:v>21.8931727091132</c:v>
                </c:pt>
                <c:pt idx="167">
                  <c:v>21.95162223068337</c:v>
                </c:pt>
                <c:pt idx="168">
                  <c:v>22.0086304972859</c:v>
                </c:pt>
                <c:pt idx="169">
                  <c:v>22.06417888113232</c:v>
                </c:pt>
                <c:pt idx="170">
                  <c:v>22.11824878725191</c:v>
                </c:pt>
                <c:pt idx="171">
                  <c:v>22.17082165843511</c:v>
                </c:pt>
                <c:pt idx="172">
                  <c:v>22.22187898026882</c:v>
                </c:pt>
                <c:pt idx="173">
                  <c:v>22.27140228625788</c:v>
                </c:pt>
                <c:pt idx="174">
                  <c:v>22.31937316302639</c:v>
                </c:pt>
                <c:pt idx="175">
                  <c:v>22.36577325559144</c:v>
                </c:pt>
                <c:pt idx="176">
                  <c:v>22.41058427270177</c:v>
                </c:pt>
                <c:pt idx="177">
                  <c:v>22.45378799223241</c:v>
                </c:pt>
                <c:pt idx="178">
                  <c:v>22.49536626662636</c:v>
                </c:pt>
                <c:pt idx="179">
                  <c:v>22.53530102837307</c:v>
                </c:pt>
                <c:pt idx="180">
                  <c:v>22.57357429551334</c:v>
                </c:pt>
                <c:pt idx="181">
                  <c:v>22.61016817715912</c:v>
                </c:pt>
                <c:pt idx="182">
                  <c:v>22.64506487901634</c:v>
                </c:pt>
                <c:pt idx="183">
                  <c:v>22.67824670889818</c:v>
                </c:pt>
                <c:pt idx="184">
                  <c:v>22.70969608221555</c:v>
                </c:pt>
                <c:pt idx="185">
                  <c:v>22.73939552743116</c:v>
                </c:pt>
                <c:pt idx="186">
                  <c:v>22.76732769146269</c:v>
                </c:pt>
                <c:pt idx="187">
                  <c:v>22.79347534502052</c:v>
                </c:pt>
                <c:pt idx="188">
                  <c:v>22.81782138786473</c:v>
                </c:pt>
                <c:pt idx="189">
                  <c:v>22.84034885396573</c:v>
                </c:pt>
                <c:pt idx="190">
                  <c:v>22.86104091655281</c:v>
                </c:pt>
                <c:pt idx="191">
                  <c:v>22.87988089303423</c:v>
                </c:pt>
                <c:pt idx="192">
                  <c:v>22.89685224977266</c:v>
                </c:pt>
                <c:pt idx="193">
                  <c:v>22.9119386066994</c:v>
                </c:pt>
                <c:pt idx="194">
                  <c:v>22.92512374175075</c:v>
                </c:pt>
                <c:pt idx="195">
                  <c:v>22.93639159511036</c:v>
                </c:pt>
                <c:pt idx="196">
                  <c:v>22.94572627324061</c:v>
                </c:pt>
                <c:pt idx="197">
                  <c:v>22.95311205268725</c:v>
                </c:pt>
                <c:pt idx="198">
                  <c:v>22.95853338364119</c:v>
                </c:pt>
                <c:pt idx="199">
                  <c:v>22.9619748932418</c:v>
                </c:pt>
                <c:pt idx="200">
                  <c:v>22.96342138860663</c:v>
                </c:pt>
                <c:pt idx="201">
                  <c:v>22.962857859573</c:v>
                </c:pt>
                <c:pt idx="202">
                  <c:v>22.96026948113731</c:v>
                </c:pt>
                <c:pt idx="203">
                  <c:v>22.95564161557911</c:v>
                </c:pt>
                <c:pt idx="204">
                  <c:v>22.94895981425715</c:v>
                </c:pt>
                <c:pt idx="205">
                  <c:v>22.94020981906599</c:v>
                </c:pt>
                <c:pt idx="206">
                  <c:v>22.92937756354267</c:v>
                </c:pt>
                <c:pt idx="207">
                  <c:v>22.91644917361355</c:v>
                </c:pt>
                <c:pt idx="208">
                  <c:v>22.90141096797321</c:v>
                </c:pt>
                <c:pt idx="209">
                  <c:v>22.88424945808798</c:v>
                </c:pt>
                <c:pt idx="210">
                  <c:v>22.864951347818</c:v>
                </c:pt>
              </c:numCache>
            </c:numRef>
          </c:yVal>
          <c:smooth val="0"/>
        </c:ser>
        <c:ser>
          <c:idx val="4"/>
          <c:order val="3"/>
          <c:tx>
            <c:strRef>
              <c:f>成長曲線_データ!$AN$2</c:f>
              <c:strCache>
                <c:ptCount val="1"/>
                <c:pt idx="0">
                  <c:v>50%tile</c:v>
                </c:pt>
              </c:strCache>
            </c:strRef>
          </c:tx>
          <c:spPr>
            <a:ln w="28575">
              <a:solidFill>
                <a:sysClr val="windowText" lastClr="000000"/>
              </a:solidFill>
            </a:ln>
          </c:spPr>
          <c:marker>
            <c:symbol val="none"/>
          </c:marker>
          <c:dLbls>
            <c:dLbl>
              <c:idx val="209"/>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成長曲線_データ!$AN$4:$AN$214</c:f>
              <c:numCache>
                <c:formatCode>General</c:formatCode>
                <c:ptCount val="211"/>
                <c:pt idx="0">
                  <c:v>12.56896799</c:v>
                </c:pt>
                <c:pt idx="1">
                  <c:v>14.368175281</c:v>
                </c:pt>
                <c:pt idx="2">
                  <c:v>15.564922468</c:v>
                </c:pt>
                <c:pt idx="3">
                  <c:v>16.292021383</c:v>
                </c:pt>
                <c:pt idx="4">
                  <c:v>16.74159103</c:v>
                </c:pt>
                <c:pt idx="5">
                  <c:v>16.978439415</c:v>
                </c:pt>
                <c:pt idx="6">
                  <c:v>17.046440332</c:v>
                </c:pt>
                <c:pt idx="7">
                  <c:v>16.989467575</c:v>
                </c:pt>
                <c:pt idx="8">
                  <c:v>16.851394938</c:v>
                </c:pt>
                <c:pt idx="9">
                  <c:v>16.676096215</c:v>
                </c:pt>
                <c:pt idx="10">
                  <c:v>16.50511652</c:v>
                </c:pt>
                <c:pt idx="11">
                  <c:v>16.351799928</c:v>
                </c:pt>
                <c:pt idx="12">
                  <c:v>16.214766256</c:v>
                </c:pt>
                <c:pt idx="13">
                  <c:v>16.093004474</c:v>
                </c:pt>
                <c:pt idx="14">
                  <c:v>15.985503552</c:v>
                </c:pt>
                <c:pt idx="15">
                  <c:v>15.89125246</c:v>
                </c:pt>
                <c:pt idx="16">
                  <c:v>15.809240168</c:v>
                </c:pt>
                <c:pt idx="17">
                  <c:v>15.738455646</c:v>
                </c:pt>
                <c:pt idx="18">
                  <c:v>15.677887864</c:v>
                </c:pt>
                <c:pt idx="19">
                  <c:v>15.626525792</c:v>
                </c:pt>
                <c:pt idx="20">
                  <c:v>15.5833584</c:v>
                </c:pt>
                <c:pt idx="21">
                  <c:v>15.547374658</c:v>
                </c:pt>
                <c:pt idx="22">
                  <c:v>15.517563536</c:v>
                </c:pt>
                <c:pt idx="23">
                  <c:v>15.492914004</c:v>
                </c:pt>
                <c:pt idx="24">
                  <c:v>15.472415032</c:v>
                </c:pt>
                <c:pt idx="25">
                  <c:v>15.45505559</c:v>
                </c:pt>
                <c:pt idx="26">
                  <c:v>15.439824648</c:v>
                </c:pt>
                <c:pt idx="27">
                  <c:v>15.425722447585</c:v>
                </c:pt>
                <c:pt idx="28">
                  <c:v>15.41223988824</c:v>
                </c:pt>
                <c:pt idx="29">
                  <c:v>15.399376974055</c:v>
                </c:pt>
                <c:pt idx="30">
                  <c:v>15.387130825</c:v>
                </c:pt>
                <c:pt idx="31">
                  <c:v>15.375498561045</c:v>
                </c:pt>
                <c:pt idx="32">
                  <c:v>15.36447730216</c:v>
                </c:pt>
                <c:pt idx="33">
                  <c:v>15.354064168315</c:v>
                </c:pt>
                <c:pt idx="34">
                  <c:v>15.34425627948</c:v>
                </c:pt>
                <c:pt idx="35">
                  <c:v>15.335050755625</c:v>
                </c:pt>
                <c:pt idx="36">
                  <c:v>15.32644471672</c:v>
                </c:pt>
                <c:pt idx="37">
                  <c:v>15.318435282735</c:v>
                </c:pt>
                <c:pt idx="38">
                  <c:v>15.31101957364</c:v>
                </c:pt>
                <c:pt idx="39">
                  <c:v>15.304194709405</c:v>
                </c:pt>
                <c:pt idx="40">
                  <c:v>15.29795781</c:v>
                </c:pt>
                <c:pt idx="41">
                  <c:v>15.292305995395</c:v>
                </c:pt>
                <c:pt idx="42">
                  <c:v>15.28723638556</c:v>
                </c:pt>
                <c:pt idx="43">
                  <c:v>15.282746100465</c:v>
                </c:pt>
                <c:pt idx="44">
                  <c:v>15.27883226008</c:v>
                </c:pt>
                <c:pt idx="45">
                  <c:v>15.275491984375</c:v>
                </c:pt>
                <c:pt idx="46">
                  <c:v>15.27272239332</c:v>
                </c:pt>
                <c:pt idx="47">
                  <c:v>15.270520606885</c:v>
                </c:pt>
                <c:pt idx="48">
                  <c:v>15.26888374504</c:v>
                </c:pt>
                <c:pt idx="49">
                  <c:v>15.267808927755</c:v>
                </c:pt>
                <c:pt idx="50">
                  <c:v>15.267293275</c:v>
                </c:pt>
                <c:pt idx="51">
                  <c:v>15.267333906745</c:v>
                </c:pt>
                <c:pt idx="52">
                  <c:v>15.26792794296</c:v>
                </c:pt>
                <c:pt idx="53">
                  <c:v>15.269072503615</c:v>
                </c:pt>
                <c:pt idx="54">
                  <c:v>15.27076470868</c:v>
                </c:pt>
                <c:pt idx="55">
                  <c:v>15.273001678125</c:v>
                </c:pt>
                <c:pt idx="56">
                  <c:v>15.27578053192</c:v>
                </c:pt>
                <c:pt idx="57">
                  <c:v>15.279098390035</c:v>
                </c:pt>
                <c:pt idx="58">
                  <c:v>15.28295237244</c:v>
                </c:pt>
                <c:pt idx="59">
                  <c:v>15.287339599105</c:v>
                </c:pt>
                <c:pt idx="60">
                  <c:v>15.29225719</c:v>
                </c:pt>
                <c:pt idx="61">
                  <c:v>15.297702265095</c:v>
                </c:pt>
                <c:pt idx="62">
                  <c:v>15.30367194436</c:v>
                </c:pt>
                <c:pt idx="63">
                  <c:v>15.310163347765</c:v>
                </c:pt>
                <c:pt idx="64">
                  <c:v>15.31717359528</c:v>
                </c:pt>
                <c:pt idx="65">
                  <c:v>15.324699806875</c:v>
                </c:pt>
                <c:pt idx="66">
                  <c:v>15.33273910252</c:v>
                </c:pt>
                <c:pt idx="67">
                  <c:v>15.341288602185</c:v>
                </c:pt>
                <c:pt idx="68">
                  <c:v>15.35034542584</c:v>
                </c:pt>
                <c:pt idx="69">
                  <c:v>15.359906693455</c:v>
                </c:pt>
                <c:pt idx="70">
                  <c:v>15.369969525</c:v>
                </c:pt>
                <c:pt idx="71">
                  <c:v>15.380531040445</c:v>
                </c:pt>
                <c:pt idx="72">
                  <c:v>15.39158835976</c:v>
                </c:pt>
                <c:pt idx="73">
                  <c:v>15.403138602915</c:v>
                </c:pt>
                <c:pt idx="74">
                  <c:v>15.41517888988</c:v>
                </c:pt>
                <c:pt idx="75">
                  <c:v>15.427706340625</c:v>
                </c:pt>
                <c:pt idx="76">
                  <c:v>15.44071807512</c:v>
                </c:pt>
                <c:pt idx="77">
                  <c:v>15.454211213335</c:v>
                </c:pt>
                <c:pt idx="78">
                  <c:v>15.46818287524</c:v>
                </c:pt>
                <c:pt idx="79">
                  <c:v>15.482630180805</c:v>
                </c:pt>
                <c:pt idx="80">
                  <c:v>15.49755025</c:v>
                </c:pt>
                <c:pt idx="81">
                  <c:v>15.512940202795</c:v>
                </c:pt>
                <c:pt idx="82">
                  <c:v>15.52879715916</c:v>
                </c:pt>
                <c:pt idx="83">
                  <c:v>15.545118239065</c:v>
                </c:pt>
                <c:pt idx="84">
                  <c:v>15.56190056248</c:v>
                </c:pt>
                <c:pt idx="85">
                  <c:v>15.579141249375</c:v>
                </c:pt>
                <c:pt idx="86">
                  <c:v>15.59683741972</c:v>
                </c:pt>
                <c:pt idx="87">
                  <c:v>15.614986193485</c:v>
                </c:pt>
                <c:pt idx="88">
                  <c:v>15.63358469064</c:v>
                </c:pt>
                <c:pt idx="89">
                  <c:v>15.652630031155</c:v>
                </c:pt>
                <c:pt idx="90">
                  <c:v>15.67211635</c:v>
                </c:pt>
                <c:pt idx="91">
                  <c:v>15.69254419343</c:v>
                </c:pt>
                <c:pt idx="92">
                  <c:v>15.71439506504</c:v>
                </c:pt>
                <c:pt idx="93">
                  <c:v>15.73765072681</c:v>
                </c:pt>
                <c:pt idx="94">
                  <c:v>15.76229294072</c:v>
                </c:pt>
                <c:pt idx="95">
                  <c:v>15.78830346875</c:v>
                </c:pt>
                <c:pt idx="96">
                  <c:v>15.81566407288</c:v>
                </c:pt>
                <c:pt idx="97">
                  <c:v>15.84435651509</c:v>
                </c:pt>
                <c:pt idx="98">
                  <c:v>15.87436255736</c:v>
                </c:pt>
                <c:pt idx="99">
                  <c:v>15.90566396167</c:v>
                </c:pt>
                <c:pt idx="100">
                  <c:v>15.93824249</c:v>
                </c:pt>
                <c:pt idx="101">
                  <c:v>15.97207990433</c:v>
                </c:pt>
                <c:pt idx="102">
                  <c:v>16.00715796664</c:v>
                </c:pt>
                <c:pt idx="103">
                  <c:v>16.04345843891</c:v>
                </c:pt>
                <c:pt idx="104">
                  <c:v>16.08096308312</c:v>
                </c:pt>
                <c:pt idx="105">
                  <c:v>16.11965366125</c:v>
                </c:pt>
                <c:pt idx="106">
                  <c:v>16.15951193528</c:v>
                </c:pt>
                <c:pt idx="107">
                  <c:v>16.20051966719</c:v>
                </c:pt>
                <c:pt idx="108">
                  <c:v>16.24265861896</c:v>
                </c:pt>
                <c:pt idx="109">
                  <c:v>16.28591055257</c:v>
                </c:pt>
                <c:pt idx="110">
                  <c:v>16.33025723</c:v>
                </c:pt>
                <c:pt idx="111">
                  <c:v>16.37568041323</c:v>
                </c:pt>
                <c:pt idx="112">
                  <c:v>16.42216186424</c:v>
                </c:pt>
                <c:pt idx="113">
                  <c:v>16.46968334501</c:v>
                </c:pt>
                <c:pt idx="114">
                  <c:v>16.51822661752</c:v>
                </c:pt>
                <c:pt idx="115">
                  <c:v>16.56777344375</c:v>
                </c:pt>
                <c:pt idx="116">
                  <c:v>16.61830558568</c:v>
                </c:pt>
                <c:pt idx="117">
                  <c:v>16.66980480529</c:v>
                </c:pt>
                <c:pt idx="118">
                  <c:v>16.72225286456</c:v>
                </c:pt>
                <c:pt idx="119">
                  <c:v>16.77563152547</c:v>
                </c:pt>
                <c:pt idx="120">
                  <c:v>16.82992255</c:v>
                </c:pt>
                <c:pt idx="121">
                  <c:v>16.88510770013</c:v>
                </c:pt>
                <c:pt idx="122">
                  <c:v>16.94116873784</c:v>
                </c:pt>
                <c:pt idx="123">
                  <c:v>16.99808742511</c:v>
                </c:pt>
                <c:pt idx="124">
                  <c:v>17.05584552392</c:v>
                </c:pt>
                <c:pt idx="125">
                  <c:v>17.11442479625</c:v>
                </c:pt>
                <c:pt idx="126">
                  <c:v>17.17380700408</c:v>
                </c:pt>
                <c:pt idx="127">
                  <c:v>17.23397390939</c:v>
                </c:pt>
                <c:pt idx="128">
                  <c:v>17.29490727416</c:v>
                </c:pt>
                <c:pt idx="129">
                  <c:v>17.35658886037</c:v>
                </c:pt>
                <c:pt idx="130">
                  <c:v>17.41900043</c:v>
                </c:pt>
                <c:pt idx="131">
                  <c:v>17.48212374503</c:v>
                </c:pt>
                <c:pt idx="132">
                  <c:v>17.54594056744</c:v>
                </c:pt>
                <c:pt idx="133">
                  <c:v>17.61043265921</c:v>
                </c:pt>
                <c:pt idx="134">
                  <c:v>17.67558178232</c:v>
                </c:pt>
                <c:pt idx="135">
                  <c:v>17.74136969875</c:v>
                </c:pt>
                <c:pt idx="136">
                  <c:v>17.80777817048</c:v>
                </c:pt>
                <c:pt idx="137">
                  <c:v>17.87478895949</c:v>
                </c:pt>
                <c:pt idx="138">
                  <c:v>17.94238382776</c:v>
                </c:pt>
                <c:pt idx="139">
                  <c:v>18.01054453727</c:v>
                </c:pt>
                <c:pt idx="140">
                  <c:v>18.07925285</c:v>
                </c:pt>
                <c:pt idx="141">
                  <c:v>18.14849052793</c:v>
                </c:pt>
                <c:pt idx="142">
                  <c:v>18.21823933304</c:v>
                </c:pt>
                <c:pt idx="143">
                  <c:v>18.28848102731</c:v>
                </c:pt>
                <c:pt idx="144">
                  <c:v>18.35919737272</c:v>
                </c:pt>
                <c:pt idx="145">
                  <c:v>18.43037013125</c:v>
                </c:pt>
                <c:pt idx="146">
                  <c:v>18.50198106488</c:v>
                </c:pt>
                <c:pt idx="147">
                  <c:v>18.57401193559</c:v>
                </c:pt>
                <c:pt idx="148">
                  <c:v>18.64644450536</c:v>
                </c:pt>
                <c:pt idx="149">
                  <c:v>18.71926053617</c:v>
                </c:pt>
                <c:pt idx="150">
                  <c:v>18.800257364</c:v>
                </c:pt>
                <c:pt idx="151">
                  <c:v>18.8732316291</c:v>
                </c:pt>
                <c:pt idx="152">
                  <c:v>18.9452203028</c:v>
                </c:pt>
                <c:pt idx="153">
                  <c:v>19.0162083437</c:v>
                </c:pt>
                <c:pt idx="154">
                  <c:v>19.0861807104</c:v>
                </c:pt>
                <c:pt idx="155">
                  <c:v>19.1551223615</c:v>
                </c:pt>
                <c:pt idx="156">
                  <c:v>19.2230182556</c:v>
                </c:pt>
                <c:pt idx="157">
                  <c:v>19.2898533513</c:v>
                </c:pt>
                <c:pt idx="158">
                  <c:v>19.3556126072</c:v>
                </c:pt>
                <c:pt idx="159">
                  <c:v>19.4202809819</c:v>
                </c:pt>
                <c:pt idx="160">
                  <c:v>19.483843434</c:v>
                </c:pt>
                <c:pt idx="161">
                  <c:v>19.5462849221</c:v>
                </c:pt>
                <c:pt idx="162">
                  <c:v>19.60759040480001</c:v>
                </c:pt>
                <c:pt idx="163">
                  <c:v>19.6677448407</c:v>
                </c:pt>
                <c:pt idx="164">
                  <c:v>19.7267331884</c:v>
                </c:pt>
                <c:pt idx="165">
                  <c:v>19.7845404065</c:v>
                </c:pt>
                <c:pt idx="166">
                  <c:v>19.8411514536</c:v>
                </c:pt>
                <c:pt idx="167">
                  <c:v>19.8965512883</c:v>
                </c:pt>
                <c:pt idx="168">
                  <c:v>19.9507248692</c:v>
                </c:pt>
                <c:pt idx="169">
                  <c:v>20.0036571549</c:v>
                </c:pt>
                <c:pt idx="170">
                  <c:v>20.055333104</c:v>
                </c:pt>
                <c:pt idx="171">
                  <c:v>20.1057376751</c:v>
                </c:pt>
                <c:pt idx="172">
                  <c:v>20.1548558268</c:v>
                </c:pt>
                <c:pt idx="173">
                  <c:v>20.2026725177</c:v>
                </c:pt>
                <c:pt idx="174">
                  <c:v>20.2491727064</c:v>
                </c:pt>
                <c:pt idx="175">
                  <c:v>20.2943413515</c:v>
                </c:pt>
                <c:pt idx="176">
                  <c:v>20.3381634116</c:v>
                </c:pt>
                <c:pt idx="177">
                  <c:v>20.3806238453</c:v>
                </c:pt>
                <c:pt idx="178">
                  <c:v>20.4217076112</c:v>
                </c:pt>
                <c:pt idx="179">
                  <c:v>20.4613996679</c:v>
                </c:pt>
                <c:pt idx="180">
                  <c:v>20.499684974</c:v>
                </c:pt>
                <c:pt idx="181">
                  <c:v>20.5365484881</c:v>
                </c:pt>
                <c:pt idx="182">
                  <c:v>20.5719751688</c:v>
                </c:pt>
                <c:pt idx="183">
                  <c:v>20.6059499747</c:v>
                </c:pt>
                <c:pt idx="184">
                  <c:v>20.6384578644</c:v>
                </c:pt>
                <c:pt idx="185">
                  <c:v>20.6694837965</c:v>
                </c:pt>
                <c:pt idx="186">
                  <c:v>20.6990127296</c:v>
                </c:pt>
                <c:pt idx="187">
                  <c:v>20.7270296223</c:v>
                </c:pt>
                <c:pt idx="188">
                  <c:v>20.7535194332</c:v>
                </c:pt>
                <c:pt idx="189">
                  <c:v>20.7784671209</c:v>
                </c:pt>
                <c:pt idx="190">
                  <c:v>20.801857644</c:v>
                </c:pt>
                <c:pt idx="191">
                  <c:v>20.8236759611</c:v>
                </c:pt>
                <c:pt idx="192">
                  <c:v>20.8439070308</c:v>
                </c:pt>
                <c:pt idx="193">
                  <c:v>20.8625358117</c:v>
                </c:pt>
                <c:pt idx="194">
                  <c:v>20.8795472624</c:v>
                </c:pt>
                <c:pt idx="195">
                  <c:v>20.8949263415</c:v>
                </c:pt>
                <c:pt idx="196">
                  <c:v>20.9086580076</c:v>
                </c:pt>
                <c:pt idx="197">
                  <c:v>20.9207272193</c:v>
                </c:pt>
                <c:pt idx="198">
                  <c:v>20.9311189352</c:v>
                </c:pt>
                <c:pt idx="199">
                  <c:v>20.9398181139</c:v>
                </c:pt>
                <c:pt idx="200">
                  <c:v>20.946809714</c:v>
                </c:pt>
                <c:pt idx="201">
                  <c:v>20.95207869410001</c:v>
                </c:pt>
                <c:pt idx="202">
                  <c:v>20.9556100128</c:v>
                </c:pt>
                <c:pt idx="203">
                  <c:v>20.95738862870001</c:v>
                </c:pt>
                <c:pt idx="204">
                  <c:v>20.9573995004</c:v>
                </c:pt>
                <c:pt idx="205">
                  <c:v>20.9556275865</c:v>
                </c:pt>
                <c:pt idx="206">
                  <c:v>20.95205784560001</c:v>
                </c:pt>
                <c:pt idx="207">
                  <c:v>20.94667523630001</c:v>
                </c:pt>
                <c:pt idx="208">
                  <c:v>20.9394647172</c:v>
                </c:pt>
                <c:pt idx="209">
                  <c:v>20.9304112469</c:v>
                </c:pt>
                <c:pt idx="210">
                  <c:v>20.91949978400001</c:v>
                </c:pt>
              </c:numCache>
            </c:numRef>
          </c:yVal>
          <c:smooth val="0"/>
        </c:ser>
        <c:ser>
          <c:idx val="2"/>
          <c:order val="4"/>
          <c:tx>
            <c:strRef>
              <c:f>成長曲線_データ!$AM$2</c:f>
              <c:strCache>
                <c:ptCount val="1"/>
                <c:pt idx="0">
                  <c:v>25%tile</c:v>
                </c:pt>
              </c:strCache>
            </c:strRef>
          </c:tx>
          <c:spPr>
            <a:ln w="3175">
              <a:solidFill>
                <a:sysClr val="windowText" lastClr="000000"/>
              </a:solidFill>
              <a:prstDash val="sysDot"/>
            </a:ln>
          </c:spPr>
          <c:marker>
            <c:symbol val="none"/>
          </c:marker>
          <c:dLbls>
            <c:dLbl>
              <c:idx val="209"/>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成長曲線_データ!$AM$4:$AM$214</c:f>
              <c:numCache>
                <c:formatCode>General</c:formatCode>
                <c:ptCount val="211"/>
                <c:pt idx="0">
                  <c:v>11.819393889143</c:v>
                </c:pt>
                <c:pt idx="1">
                  <c:v>13.52088087993963</c:v>
                </c:pt>
                <c:pt idx="2">
                  <c:v>14.65691682665441</c:v>
                </c:pt>
                <c:pt idx="3">
                  <c:v>15.35139204656267</c:v>
                </c:pt>
                <c:pt idx="4">
                  <c:v>15.78453555685948</c:v>
                </c:pt>
                <c:pt idx="5">
                  <c:v>16.016979025122</c:v>
                </c:pt>
                <c:pt idx="6">
                  <c:v>16.08977887256347</c:v>
                </c:pt>
                <c:pt idx="7">
                  <c:v>16.04411452318221</c:v>
                </c:pt>
                <c:pt idx="8">
                  <c:v>15.92127422990408</c:v>
                </c:pt>
                <c:pt idx="9">
                  <c:v>15.76264144117012</c:v>
                </c:pt>
                <c:pt idx="10">
                  <c:v>15.60747965934598</c:v>
                </c:pt>
                <c:pt idx="11">
                  <c:v>15.46844093697707</c:v>
                </c:pt>
                <c:pt idx="12">
                  <c:v>15.34426028524172</c:v>
                </c:pt>
                <c:pt idx="13">
                  <c:v>15.23401715513227</c:v>
                </c:pt>
                <c:pt idx="14">
                  <c:v>15.13678687594513</c:v>
                </c:pt>
                <c:pt idx="15">
                  <c:v>15.05164101257565</c:v>
                </c:pt>
                <c:pt idx="16">
                  <c:v>14.97764770982618</c:v>
                </c:pt>
                <c:pt idx="17">
                  <c:v>14.9138720240648</c:v>
                </c:pt>
                <c:pt idx="18">
                  <c:v>14.85937624253853</c:v>
                </c:pt>
                <c:pt idx="19">
                  <c:v>14.81322019061395</c:v>
                </c:pt>
                <c:pt idx="20">
                  <c:v>14.77446152719054</c:v>
                </c:pt>
                <c:pt idx="21">
                  <c:v>14.74215602850662</c:v>
                </c:pt>
                <c:pt idx="22">
                  <c:v>14.71535786053542</c:v>
                </c:pt>
                <c:pt idx="23">
                  <c:v>14.69311984014734</c:v>
                </c:pt>
                <c:pt idx="24">
                  <c:v>14.67449368519954</c:v>
                </c:pt>
                <c:pt idx="25">
                  <c:v>14.65853025369393</c:v>
                </c:pt>
                <c:pt idx="26">
                  <c:v>14.64427977213503</c:v>
                </c:pt>
                <c:pt idx="27">
                  <c:v>14.63080274394104</c:v>
                </c:pt>
                <c:pt idx="28">
                  <c:v>14.6176248255186</c:v>
                </c:pt>
                <c:pt idx="29">
                  <c:v>14.60475440882207</c:v>
                </c:pt>
                <c:pt idx="30">
                  <c:v>14.5921970243369</c:v>
                </c:pt>
                <c:pt idx="31">
                  <c:v>14.5799580812116</c:v>
                </c:pt>
                <c:pt idx="32">
                  <c:v>14.56804287157997</c:v>
                </c:pt>
                <c:pt idx="33">
                  <c:v>14.55645657460134</c:v>
                </c:pt>
                <c:pt idx="34">
                  <c:v>14.54520426023197</c:v>
                </c:pt>
                <c:pt idx="35">
                  <c:v>14.5342908927405</c:v>
                </c:pt>
                <c:pt idx="36">
                  <c:v>14.52372133397987</c:v>
                </c:pt>
                <c:pt idx="37">
                  <c:v>14.51350034642807</c:v>
                </c:pt>
                <c:pt idx="38">
                  <c:v>14.5036325960096</c:v>
                </c:pt>
                <c:pt idx="39">
                  <c:v>14.49412265470941</c:v>
                </c:pt>
                <c:pt idx="40">
                  <c:v>14.4849750029909</c:v>
                </c:pt>
                <c:pt idx="41">
                  <c:v>14.47619403202905</c:v>
                </c:pt>
                <c:pt idx="42">
                  <c:v>14.46778404576995</c:v>
                </c:pt>
                <c:pt idx="43">
                  <c:v>14.45974926282741</c:v>
                </c:pt>
                <c:pt idx="44">
                  <c:v>14.45209381822742</c:v>
                </c:pt>
                <c:pt idx="45">
                  <c:v>14.44482176501072</c:v>
                </c:pt>
                <c:pt idx="46">
                  <c:v>14.43793707570393</c:v>
                </c:pt>
                <c:pt idx="47">
                  <c:v>14.431443643669</c:v>
                </c:pt>
                <c:pt idx="48">
                  <c:v>14.42534528434097</c:v>
                </c:pt>
                <c:pt idx="49">
                  <c:v>14.41964573636358</c:v>
                </c:pt>
                <c:pt idx="50">
                  <c:v>14.41434866263202</c:v>
                </c:pt>
                <c:pt idx="51">
                  <c:v>14.40945765125204</c:v>
                </c:pt>
                <c:pt idx="52">
                  <c:v>14.40497621642436</c:v>
                </c:pt>
                <c:pt idx="53">
                  <c:v>14.40090779926295</c:v>
                </c:pt>
                <c:pt idx="54">
                  <c:v>14.39725576855568</c:v>
                </c:pt>
                <c:pt idx="55">
                  <c:v>14.39402342147546</c:v>
                </c:pt>
                <c:pt idx="56">
                  <c:v>14.39121398424994</c:v>
                </c:pt>
                <c:pt idx="57">
                  <c:v>14.38883061279716</c:v>
                </c:pt>
                <c:pt idx="58">
                  <c:v>14.38687639333478</c:v>
                </c:pt>
                <c:pt idx="59">
                  <c:v>14.38535434296987</c:v>
                </c:pt>
                <c:pt idx="60">
                  <c:v>14.38426741027612</c:v>
                </c:pt>
                <c:pt idx="61">
                  <c:v>14.38361847586498</c:v>
                </c:pt>
                <c:pt idx="62">
                  <c:v>14.38341035295702</c:v>
                </c:pt>
                <c:pt idx="63">
                  <c:v>14.38364578795942</c:v>
                </c:pt>
                <c:pt idx="64">
                  <c:v>14.38432746105529</c:v>
                </c:pt>
                <c:pt idx="65">
                  <c:v>14.38545798681015</c:v>
                </c:pt>
                <c:pt idx="66">
                  <c:v>14.38703991480068</c:v>
                </c:pt>
                <c:pt idx="67">
                  <c:v>14.38907573027041</c:v>
                </c:pt>
                <c:pt idx="68">
                  <c:v>14.39156785481696</c:v>
                </c:pt>
                <c:pt idx="69">
                  <c:v>14.39451860295543</c:v>
                </c:pt>
                <c:pt idx="70">
                  <c:v>14.39790282673359</c:v>
                </c:pt>
                <c:pt idx="71">
                  <c:v>14.40169458626565</c:v>
                </c:pt>
                <c:pt idx="72">
                  <c:v>14.40589515533072</c:v>
                </c:pt>
                <c:pt idx="73">
                  <c:v>14.41050575648952</c:v>
                </c:pt>
                <c:pt idx="74">
                  <c:v>14.4155275680672</c:v>
                </c:pt>
                <c:pt idx="75">
                  <c:v>14.42096173107383</c:v>
                </c:pt>
                <c:pt idx="76">
                  <c:v>14.42680935606936</c:v>
                </c:pt>
                <c:pt idx="77">
                  <c:v>14.43307152997951</c:v>
                </c:pt>
                <c:pt idx="78">
                  <c:v>14.43974932286774</c:v>
                </c:pt>
                <c:pt idx="79">
                  <c:v>14.44684379466808</c:v>
                </c:pt>
                <c:pt idx="80">
                  <c:v>14.4543560018826</c:v>
                </c:pt>
                <c:pt idx="81">
                  <c:v>14.46228700424686</c:v>
                </c:pt>
                <c:pt idx="82">
                  <c:v>14.47063787136592</c:v>
                </c:pt>
                <c:pt idx="83">
                  <c:v>14.47940968932296</c:v>
                </c:pt>
                <c:pt idx="84">
                  <c:v>14.48860356726192</c:v>
                </c:pt>
                <c:pt idx="85">
                  <c:v>14.49822064394525</c:v>
                </c:pt>
                <c:pt idx="86">
                  <c:v>14.50826209428693</c:v>
                </c:pt>
                <c:pt idx="87">
                  <c:v>14.51872913586072</c:v>
                </c:pt>
                <c:pt idx="88">
                  <c:v>14.52962303538303</c:v>
                </c:pt>
                <c:pt idx="89">
                  <c:v>14.54094511516893</c:v>
                </c:pt>
                <c:pt idx="90">
                  <c:v>14.55269322831191</c:v>
                </c:pt>
                <c:pt idx="91">
                  <c:v>14.56537223246437</c:v>
                </c:pt>
                <c:pt idx="92">
                  <c:v>14.57946216126517</c:v>
                </c:pt>
                <c:pt idx="93">
                  <c:v>14.59494308917083</c:v>
                </c:pt>
                <c:pt idx="94">
                  <c:v>14.61179528616697</c:v>
                </c:pt>
                <c:pt idx="95">
                  <c:v>14.6299992134542</c:v>
                </c:pt>
                <c:pt idx="96">
                  <c:v>14.64953551933495</c:v>
                </c:pt>
                <c:pt idx="97">
                  <c:v>14.67038503529302</c:v>
                </c:pt>
                <c:pt idx="98">
                  <c:v>14.69252877225717</c:v>
                </c:pt>
                <c:pt idx="99">
                  <c:v>14.71594791703984</c:v>
                </c:pt>
                <c:pt idx="100">
                  <c:v>14.74062382894187</c:v>
                </c:pt>
                <c:pt idx="101">
                  <c:v>14.76653803651369</c:v>
                </c:pt>
                <c:pt idx="102">
                  <c:v>14.7936722344632</c:v>
                </c:pt>
                <c:pt idx="103">
                  <c:v>14.8220082807007</c:v>
                </c:pt>
                <c:pt idx="104">
                  <c:v>14.8515281935106</c:v>
                </c:pt>
                <c:pt idx="105">
                  <c:v>14.88221414883992</c:v>
                </c:pt>
                <c:pt idx="106">
                  <c:v>14.91404847769309</c:v>
                </c:pt>
                <c:pt idx="107">
                  <c:v>14.94701366362285</c:v>
                </c:pt>
                <c:pt idx="108">
                  <c:v>14.98109234030665</c:v>
                </c:pt>
                <c:pt idx="109">
                  <c:v>15.01626728919797</c:v>
                </c:pt>
                <c:pt idx="110">
                  <c:v>15.05252143724205</c:v>
                </c:pt>
                <c:pt idx="111">
                  <c:v>15.08983785464522</c:v>
                </c:pt>
                <c:pt idx="112">
                  <c:v>15.12819975268724</c:v>
                </c:pt>
                <c:pt idx="113">
                  <c:v>15.167590481566</c:v>
                </c:pt>
                <c:pt idx="114">
                  <c:v>15.20799352826358</c:v>
                </c:pt>
                <c:pt idx="115">
                  <c:v>15.24939251442337</c:v>
                </c:pt>
                <c:pt idx="116">
                  <c:v>15.29177119422718</c:v>
                </c:pt>
                <c:pt idx="117">
                  <c:v>15.33511345226193</c:v>
                </c:pt>
                <c:pt idx="118">
                  <c:v>15.37940330136524</c:v>
                </c:pt>
                <c:pt idx="119">
                  <c:v>15.42462488043947</c:v>
                </c:pt>
                <c:pt idx="120">
                  <c:v>15.47076245222373</c:v>
                </c:pt>
                <c:pt idx="121">
                  <c:v>15.51780040101358</c:v>
                </c:pt>
                <c:pt idx="122">
                  <c:v>15.56572323031828</c:v>
                </c:pt>
                <c:pt idx="123">
                  <c:v>15.61451556044567</c:v>
                </c:pt>
                <c:pt idx="124">
                  <c:v>15.66416212600474</c:v>
                </c:pt>
                <c:pt idx="125">
                  <c:v>15.71464777331645</c:v>
                </c:pt>
                <c:pt idx="126">
                  <c:v>15.7659574577235</c:v>
                </c:pt>
                <c:pt idx="127">
                  <c:v>15.8180762407899</c:v>
                </c:pt>
                <c:pt idx="128">
                  <c:v>15.8709892873819</c:v>
                </c:pt>
                <c:pt idx="129">
                  <c:v>15.92468186262157</c:v>
                </c:pt>
                <c:pt idx="130">
                  <c:v>15.97913932870563</c:v>
                </c:pt>
                <c:pt idx="131">
                  <c:v>16.03434714158149</c:v>
                </c:pt>
                <c:pt idx="132">
                  <c:v>16.09029084747398</c:v>
                </c:pt>
                <c:pt idx="133">
                  <c:v>16.14695607925602</c:v>
                </c:pt>
                <c:pt idx="134">
                  <c:v>16.2043285526574</c:v>
                </c:pt>
                <c:pt idx="135">
                  <c:v>16.26239406230657</c:v>
                </c:pt>
                <c:pt idx="136">
                  <c:v>16.32113847760052</c:v>
                </c:pt>
                <c:pt idx="137">
                  <c:v>16.38054773839919</c:v>
                </c:pt>
                <c:pt idx="138">
                  <c:v>16.44060785054104</c:v>
                </c:pt>
                <c:pt idx="139">
                  <c:v>16.50130488117757</c:v>
                </c:pt>
                <c:pt idx="140">
                  <c:v>16.56262495392527</c:v>
                </c:pt>
                <c:pt idx="141">
                  <c:v>16.62455424383433</c:v>
                </c:pt>
                <c:pt idx="142">
                  <c:v>16.68707897217466</c:v>
                </c:pt>
                <c:pt idx="143">
                  <c:v>16.75018540104023</c:v>
                </c:pt>
                <c:pt idx="144">
                  <c:v>16.81385982777429</c:v>
                </c:pt>
                <c:pt idx="145">
                  <c:v>16.87808857921867</c:v>
                </c:pt>
                <c:pt idx="146">
                  <c:v>16.94285800579162</c:v>
                </c:pt>
                <c:pt idx="147">
                  <c:v>17.00815447539966</c:v>
                </c:pt>
                <c:pt idx="148">
                  <c:v>17.07396436719012</c:v>
                </c:pt>
                <c:pt idx="149">
                  <c:v>17.14027406515193</c:v>
                </c:pt>
                <c:pt idx="150">
                  <c:v>17.21422652849924</c:v>
                </c:pt>
                <c:pt idx="151">
                  <c:v>17.2809932291635</c:v>
                </c:pt>
                <c:pt idx="152">
                  <c:v>17.34702362154588</c:v>
                </c:pt>
                <c:pt idx="153">
                  <c:v>17.41230259309313</c:v>
                </c:pt>
                <c:pt idx="154">
                  <c:v>17.47681486350383</c:v>
                </c:pt>
                <c:pt idx="155">
                  <c:v>17.54054498942556</c:v>
                </c:pt>
                <c:pt idx="156">
                  <c:v>17.60347736932973</c:v>
                </c:pt>
                <c:pt idx="157">
                  <c:v>17.66559624854256</c:v>
                </c:pt>
                <c:pt idx="158">
                  <c:v>17.72688572441143</c:v>
                </c:pt>
                <c:pt idx="159">
                  <c:v>17.78732975158618</c:v>
                </c:pt>
                <c:pt idx="160">
                  <c:v>17.84691214739516</c:v>
                </c:pt>
                <c:pt idx="161">
                  <c:v>17.90561659729674</c:v>
                </c:pt>
                <c:pt idx="162">
                  <c:v>17.9634266603874</c:v>
                </c:pt>
                <c:pt idx="163">
                  <c:v>18.02032577494822</c:v>
                </c:pt>
                <c:pt idx="164">
                  <c:v>18.07629726401247</c:v>
                </c:pt>
                <c:pt idx="165">
                  <c:v>18.13132434093763</c:v>
                </c:pt>
                <c:pt idx="166">
                  <c:v>18.18539011496618</c:v>
                </c:pt>
                <c:pt idx="167">
                  <c:v>18.23847759676012</c:v>
                </c:pt>
                <c:pt idx="168">
                  <c:v>18.29056970389548</c:v>
                </c:pt>
                <c:pt idx="169">
                  <c:v>18.34164926630341</c:v>
                </c:pt>
                <c:pt idx="170">
                  <c:v>18.39169903164591</c:v>
                </c:pt>
                <c:pt idx="171">
                  <c:v>18.44070167061481</c:v>
                </c:pt>
                <c:pt idx="172">
                  <c:v>18.48863978214375</c:v>
                </c:pt>
                <c:pt idx="173">
                  <c:v>18.53549589852366</c:v>
                </c:pt>
                <c:pt idx="174">
                  <c:v>18.58125249041314</c:v>
                </c:pt>
                <c:pt idx="175">
                  <c:v>18.62589197173629</c:v>
                </c:pt>
                <c:pt idx="176">
                  <c:v>18.66939670446097</c:v>
                </c:pt>
                <c:pt idx="177">
                  <c:v>18.71174900325164</c:v>
                </c:pt>
                <c:pt idx="178">
                  <c:v>18.75293113999161</c:v>
                </c:pt>
                <c:pt idx="179">
                  <c:v>18.79292534817034</c:v>
                </c:pt>
                <c:pt idx="180">
                  <c:v>18.83171382713204</c:v>
                </c:pt>
                <c:pt idx="181">
                  <c:v>18.86927874618294</c:v>
                </c:pt>
                <c:pt idx="182">
                  <c:v>18.90560224855464</c:v>
                </c:pt>
                <c:pt idx="183">
                  <c:v>18.94066645522216</c:v>
                </c:pt>
                <c:pt idx="184">
                  <c:v>18.97445346857572</c:v>
                </c:pt>
                <c:pt idx="185">
                  <c:v>19.0069453759457</c:v>
                </c:pt>
                <c:pt idx="186">
                  <c:v>19.03812425298097</c:v>
                </c:pt>
                <c:pt idx="187">
                  <c:v>19.06797216688124</c:v>
                </c:pt>
                <c:pt idx="188">
                  <c:v>19.09647117948436</c:v>
                </c:pt>
                <c:pt idx="189">
                  <c:v>19.12360335021023</c:v>
                </c:pt>
                <c:pt idx="190">
                  <c:v>19.14935073886306</c:v>
                </c:pt>
                <c:pt idx="191">
                  <c:v>19.1736954082943</c:v>
                </c:pt>
                <c:pt idx="192">
                  <c:v>19.19661942692871</c:v>
                </c:pt>
                <c:pt idx="193">
                  <c:v>19.21810487115648</c:v>
                </c:pt>
                <c:pt idx="194">
                  <c:v>19.23813382759452</c:v>
                </c:pt>
                <c:pt idx="195">
                  <c:v>19.25668839522013</c:v>
                </c:pt>
                <c:pt idx="196">
                  <c:v>19.27375068738069</c:v>
                </c:pt>
                <c:pt idx="197">
                  <c:v>19.28930283368303</c:v>
                </c:pt>
                <c:pt idx="198">
                  <c:v>19.30332698176642</c:v>
                </c:pt>
                <c:pt idx="199">
                  <c:v>19.31580529896293</c:v>
                </c:pt>
                <c:pt idx="200">
                  <c:v>19.32671997384961</c:v>
                </c:pt>
                <c:pt idx="201">
                  <c:v>19.3360532176963</c:v>
                </c:pt>
                <c:pt idx="202">
                  <c:v>19.34378726581356</c:v>
                </c:pt>
                <c:pt idx="203">
                  <c:v>19.34990437880499</c:v>
                </c:pt>
                <c:pt idx="204">
                  <c:v>19.35438684372809</c:v>
                </c:pt>
                <c:pt idx="205">
                  <c:v>19.3572169751682</c:v>
                </c:pt>
                <c:pt idx="206">
                  <c:v>19.35837711622982</c:v>
                </c:pt>
                <c:pt idx="207">
                  <c:v>19.35784963944958</c:v>
                </c:pt>
                <c:pt idx="208">
                  <c:v>19.35561694763534</c:v>
                </c:pt>
                <c:pt idx="209">
                  <c:v>19.35166147463555</c:v>
                </c:pt>
                <c:pt idx="210">
                  <c:v>19.34596568604332</c:v>
                </c:pt>
              </c:numCache>
            </c:numRef>
          </c:yVal>
          <c:smooth val="0"/>
        </c:ser>
        <c:ser>
          <c:idx val="1"/>
          <c:order val="5"/>
          <c:tx>
            <c:strRef>
              <c:f>成長曲線_データ!$AL$2</c:f>
              <c:strCache>
                <c:ptCount val="1"/>
                <c:pt idx="0">
                  <c:v>10%tile</c:v>
                </c:pt>
              </c:strCache>
            </c:strRef>
          </c:tx>
          <c:spPr>
            <a:ln w="3175">
              <a:solidFill>
                <a:sysClr val="windowText" lastClr="000000"/>
              </a:solidFill>
            </a:ln>
          </c:spPr>
          <c:marker>
            <c:symbol val="none"/>
          </c:marker>
          <c:dLbls>
            <c:dLbl>
              <c:idx val="209"/>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成長曲線_データ!$AL$4:$AL$214</c:f>
              <c:numCache>
                <c:formatCode>General</c:formatCode>
                <c:ptCount val="211"/>
                <c:pt idx="0">
                  <c:v>11.15293930365726</c:v>
                </c:pt>
                <c:pt idx="1">
                  <c:v>12.76909642193467</c:v>
                </c:pt>
                <c:pt idx="2">
                  <c:v>13.85289123450958</c:v>
                </c:pt>
                <c:pt idx="3">
                  <c:v>14.52012646461233</c:v>
                </c:pt>
                <c:pt idx="4">
                  <c:v>14.94039576654982</c:v>
                </c:pt>
                <c:pt idx="5">
                  <c:v>15.17057228063179</c:v>
                </c:pt>
                <c:pt idx="6">
                  <c:v>15.24917878010078</c:v>
                </c:pt>
                <c:pt idx="7">
                  <c:v>15.21498924180241</c:v>
                </c:pt>
                <c:pt idx="8">
                  <c:v>15.10700025745742</c:v>
                </c:pt>
                <c:pt idx="9">
                  <c:v>14.96440381130277</c:v>
                </c:pt>
                <c:pt idx="10">
                  <c:v>14.82446980066747</c:v>
                </c:pt>
                <c:pt idx="11">
                  <c:v>14.6992548230688</c:v>
                </c:pt>
                <c:pt idx="12">
                  <c:v>14.5876040017454</c:v>
                </c:pt>
                <c:pt idx="13">
                  <c:v>14.48868440966817</c:v>
                </c:pt>
                <c:pt idx="14">
                  <c:v>14.40165458675132</c:v>
                </c:pt>
                <c:pt idx="15">
                  <c:v>14.32566528330113</c:v>
                </c:pt>
                <c:pt idx="16">
                  <c:v>14.25986016950207</c:v>
                </c:pt>
                <c:pt idx="17">
                  <c:v>14.20337651242159</c:v>
                </c:pt>
                <c:pt idx="18">
                  <c:v>14.1553458218606</c:v>
                </c:pt>
                <c:pt idx="19">
                  <c:v>14.11489446623727</c:v>
                </c:pt>
                <c:pt idx="20">
                  <c:v>14.08114425956817</c:v>
                </c:pt>
                <c:pt idx="21">
                  <c:v>14.05321302050007</c:v>
                </c:pt>
                <c:pt idx="22">
                  <c:v>14.03021510424711</c:v>
                </c:pt>
                <c:pt idx="23">
                  <c:v>14.01126190820429</c:v>
                </c:pt>
                <c:pt idx="24">
                  <c:v>13.99546235192555</c:v>
                </c:pt>
                <c:pt idx="25">
                  <c:v>13.98192333209787</c:v>
                </c:pt>
                <c:pt idx="26">
                  <c:v>13.96975015307785</c:v>
                </c:pt>
                <c:pt idx="27">
                  <c:v>13.95805713267309</c:v>
                </c:pt>
                <c:pt idx="28">
                  <c:v>13.94640177982274</c:v>
                </c:pt>
                <c:pt idx="29">
                  <c:v>13.93480184971974</c:v>
                </c:pt>
                <c:pt idx="30">
                  <c:v>13.92327216773673</c:v>
                </c:pt>
                <c:pt idx="31">
                  <c:v>13.91182725066103</c:v>
                </c:pt>
                <c:pt idx="32">
                  <c:v>13.90048131737332</c:v>
                </c:pt>
                <c:pt idx="33">
                  <c:v>13.88924829854876</c:v>
                </c:pt>
                <c:pt idx="34">
                  <c:v>13.87814184544277</c:v>
                </c:pt>
                <c:pt idx="35">
                  <c:v>13.86717533782195</c:v>
                </c:pt>
                <c:pt idx="36">
                  <c:v>13.8563618910978</c:v>
                </c:pt>
                <c:pt idx="37">
                  <c:v>13.84571436271983</c:v>
                </c:pt>
                <c:pt idx="38">
                  <c:v>13.83524535788185</c:v>
                </c:pt>
                <c:pt idx="39">
                  <c:v>13.82496723459429</c:v>
                </c:pt>
                <c:pt idx="40">
                  <c:v>13.81489210817323</c:v>
                </c:pt>
                <c:pt idx="41">
                  <c:v>13.80503185519533</c:v>
                </c:pt>
                <c:pt idx="42">
                  <c:v>13.79539811696618</c:v>
                </c:pt>
                <c:pt idx="43">
                  <c:v>13.78600230254824</c:v>
                </c:pt>
                <c:pt idx="44">
                  <c:v>13.77685559139264</c:v>
                </c:pt>
                <c:pt idx="45">
                  <c:v>13.76796893561774</c:v>
                </c:pt>
                <c:pt idx="46">
                  <c:v>13.75935306197581</c:v>
                </c:pt>
                <c:pt idx="47">
                  <c:v>13.75101847354749</c:v>
                </c:pt>
                <c:pt idx="48">
                  <c:v>13.74297545120215</c:v>
                </c:pt>
                <c:pt idx="49">
                  <c:v>13.7352340548607</c:v>
                </c:pt>
                <c:pt idx="50">
                  <c:v>13.72780412459553</c:v>
                </c:pt>
                <c:pt idx="51">
                  <c:v>13.72069528160116</c:v>
                </c:pt>
                <c:pt idx="52">
                  <c:v>13.71391692906662</c:v>
                </c:pt>
                <c:pt idx="53">
                  <c:v>13.70747825297985</c:v>
                </c:pt>
                <c:pt idx="54">
                  <c:v>13.70138822289199</c:v>
                </c:pt>
                <c:pt idx="55">
                  <c:v>13.69565559266798</c:v>
                </c:pt>
                <c:pt idx="56">
                  <c:v>13.6902889012483</c:v>
                </c:pt>
                <c:pt idx="57">
                  <c:v>13.68529647344463</c:v>
                </c:pt>
                <c:pt idx="58">
                  <c:v>13.68068642079078</c:v>
                </c:pt>
                <c:pt idx="59">
                  <c:v>13.6764666424683</c:v>
                </c:pt>
                <c:pt idx="60">
                  <c:v>13.67264482632477</c:v>
                </c:pt>
                <c:pt idx="61">
                  <c:v>13.66922845000075</c:v>
                </c:pt>
                <c:pt idx="62">
                  <c:v>13.66622478217993</c:v>
                </c:pt>
                <c:pt idx="63">
                  <c:v>13.66364088397547</c:v>
                </c:pt>
                <c:pt idx="64">
                  <c:v>13.66148361046377</c:v>
                </c:pt>
                <c:pt idx="65">
                  <c:v>13.65975961237543</c:v>
                </c:pt>
                <c:pt idx="66">
                  <c:v>13.65847533795186</c:v>
                </c:pt>
                <c:pt idx="67">
                  <c:v>13.65763703497428</c:v>
                </c:pt>
                <c:pt idx="68">
                  <c:v>13.65725075297081</c:v>
                </c:pt>
                <c:pt idx="69">
                  <c:v>13.65732221251093</c:v>
                </c:pt>
                <c:pt idx="70">
                  <c:v>13.65777462800156</c:v>
                </c:pt>
                <c:pt idx="71">
                  <c:v>13.65852989392952</c:v>
                </c:pt>
                <c:pt idx="72">
                  <c:v>13.65959217148603</c:v>
                </c:pt>
                <c:pt idx="73">
                  <c:v>13.66096543989904</c:v>
                </c:pt>
                <c:pt idx="74">
                  <c:v>13.66265351577244</c:v>
                </c:pt>
                <c:pt idx="75">
                  <c:v>13.66466007189724</c:v>
                </c:pt>
                <c:pt idx="76">
                  <c:v>13.6669886555867</c:v>
                </c:pt>
                <c:pt idx="77">
                  <c:v>13.66964270658206</c:v>
                </c:pt>
                <c:pt idx="78">
                  <c:v>13.67262557457211</c:v>
                </c:pt>
                <c:pt idx="79">
                  <c:v>13.67594053636555</c:v>
                </c:pt>
                <c:pt idx="80">
                  <c:v>13.67959081275235</c:v>
                </c:pt>
                <c:pt idx="81">
                  <c:v>13.68357958508687</c:v>
                </c:pt>
                <c:pt idx="82">
                  <c:v>13.68791001162285</c:v>
                </c:pt>
                <c:pt idx="83">
                  <c:v>13.69258524362781</c:v>
                </c:pt>
                <c:pt idx="84">
                  <c:v>13.69760844130201</c:v>
                </c:pt>
                <c:pt idx="85">
                  <c:v>13.70298278952484</c:v>
                </c:pt>
                <c:pt idx="86">
                  <c:v>13.70871151344924</c:v>
                </c:pt>
                <c:pt idx="87">
                  <c:v>13.71479789396301</c:v>
                </c:pt>
                <c:pt idx="88">
                  <c:v>13.72124528303328</c:v>
                </c:pt>
                <c:pt idx="89">
                  <c:v>13.72805711894918</c:v>
                </c:pt>
                <c:pt idx="90">
                  <c:v>13.73523312431745</c:v>
                </c:pt>
                <c:pt idx="91">
                  <c:v>13.74327494711966</c:v>
                </c:pt>
                <c:pt idx="92">
                  <c:v>13.75265607527529</c:v>
                </c:pt>
                <c:pt idx="93">
                  <c:v>13.76335524393965</c:v>
                </c:pt>
                <c:pt idx="94">
                  <c:v>13.77535157376223</c:v>
                </c:pt>
                <c:pt idx="95">
                  <c:v>13.78862456179954</c:v>
                </c:pt>
                <c:pt idx="96">
                  <c:v>13.80315407319723</c:v>
                </c:pt>
                <c:pt idx="97">
                  <c:v>13.81892033360332</c:v>
                </c:pt>
                <c:pt idx="98">
                  <c:v>13.83590392227478</c:v>
                </c:pt>
                <c:pt idx="99">
                  <c:v>13.85408576584011</c:v>
                </c:pt>
                <c:pt idx="100">
                  <c:v>13.87344713268103</c:v>
                </c:pt>
                <c:pt idx="101">
                  <c:v>13.89396962789644</c:v>
                </c:pt>
                <c:pt idx="102">
                  <c:v>13.91563518881237</c:v>
                </c:pt>
                <c:pt idx="103">
                  <c:v>13.93842608100183</c:v>
                </c:pt>
                <c:pt idx="104">
                  <c:v>13.96232489477843</c:v>
                </c:pt>
                <c:pt idx="105">
                  <c:v>13.98731454212815</c:v>
                </c:pt>
                <c:pt idx="106">
                  <c:v>14.01337825404331</c:v>
                </c:pt>
                <c:pt idx="107">
                  <c:v>14.04049957822311</c:v>
                </c:pt>
                <c:pt idx="108">
                  <c:v>14.06866237710476</c:v>
                </c:pt>
                <c:pt idx="109">
                  <c:v>14.09785082618923</c:v>
                </c:pt>
                <c:pt idx="110">
                  <c:v>14.12804941262542</c:v>
                </c:pt>
                <c:pt idx="111">
                  <c:v>14.15924293401616</c:v>
                </c:pt>
                <c:pt idx="112">
                  <c:v>14.19141649740926</c:v>
                </c:pt>
                <c:pt idx="113">
                  <c:v>14.22455551843627</c:v>
                </c:pt>
                <c:pt idx="114">
                  <c:v>14.25864572056121</c:v>
                </c:pt>
                <c:pt idx="115">
                  <c:v>14.29367313440121</c:v>
                </c:pt>
                <c:pt idx="116">
                  <c:v>14.3296240970801</c:v>
                </c:pt>
                <c:pt idx="117">
                  <c:v>14.3664852515757</c:v>
                </c:pt>
                <c:pt idx="118">
                  <c:v>14.40424354602109</c:v>
                </c:pt>
                <c:pt idx="119">
                  <c:v>14.44288623291915</c:v>
                </c:pt>
                <c:pt idx="120">
                  <c:v>14.48240086822959</c:v>
                </c:pt>
                <c:pt idx="121">
                  <c:v>14.52277531028667</c:v>
                </c:pt>
                <c:pt idx="122">
                  <c:v>14.56399771850583</c:v>
                </c:pt>
                <c:pt idx="123">
                  <c:v>14.6060565518365</c:v>
                </c:pt>
                <c:pt idx="124">
                  <c:v>14.64894056691843</c:v>
                </c:pt>
                <c:pt idx="125">
                  <c:v>14.69263881589816</c:v>
                </c:pt>
                <c:pt idx="126">
                  <c:v>14.73714064386266</c:v>
                </c:pt>
                <c:pt idx="127">
                  <c:v>14.78243568584656</c:v>
                </c:pt>
                <c:pt idx="128">
                  <c:v>14.82851386336977</c:v>
                </c:pt>
                <c:pt idx="129">
                  <c:v>14.8753653804629</c:v>
                </c:pt>
                <c:pt idx="130">
                  <c:v>14.92298071913769</c:v>
                </c:pt>
                <c:pt idx="131">
                  <c:v>14.97135063426096</c:v>
                </c:pt>
                <c:pt idx="132">
                  <c:v>15.02046614779142</c:v>
                </c:pt>
                <c:pt idx="133">
                  <c:v>15.07031854233964</c:v>
                </c:pt>
                <c:pt idx="134">
                  <c:v>15.1208993540133</c:v>
                </c:pt>
                <c:pt idx="135">
                  <c:v>15.17220036451149</c:v>
                </c:pt>
                <c:pt idx="136">
                  <c:v>15.22421359243393</c:v>
                </c:pt>
                <c:pt idx="137">
                  <c:v>15.2769312837735</c:v>
                </c:pt>
                <c:pt idx="138">
                  <c:v>15.33034590156336</c:v>
                </c:pt>
                <c:pt idx="139">
                  <c:v>15.38445011465286</c:v>
                </c:pt>
                <c:pt idx="140">
                  <c:v>15.43923678559038</c:v>
                </c:pt>
                <c:pt idx="141">
                  <c:v>15.49469895759476</c:v>
                </c:pt>
                <c:pt idx="142">
                  <c:v>15.55082984060168</c:v>
                </c:pt>
                <c:pt idx="143">
                  <c:v>15.60762279637583</c:v>
                </c:pt>
                <c:pt idx="144">
                  <c:v>15.66507132268478</c:v>
                </c:pt>
                <c:pt idx="145">
                  <c:v>15.72316903653609</c:v>
                </c:pt>
                <c:pt idx="146">
                  <c:v>15.78190965648471</c:v>
                </c:pt>
                <c:pt idx="147">
                  <c:v>15.84128698402413</c:v>
                </c:pt>
                <c:pt idx="148">
                  <c:v>15.90129488408094</c:v>
                </c:pt>
                <c:pt idx="149">
                  <c:v>15.9619272646391</c:v>
                </c:pt>
                <c:pt idx="150">
                  <c:v>16.029842932665</c:v>
                </c:pt>
                <c:pt idx="151">
                  <c:v>16.09124969920004</c:v>
                </c:pt>
                <c:pt idx="152">
                  <c:v>16.15216650419779</c:v>
                </c:pt>
                <c:pt idx="153">
                  <c:v>16.21257722916256</c:v>
                </c:pt>
                <c:pt idx="154">
                  <c:v>16.2724652938364</c:v>
                </c:pt>
                <c:pt idx="155">
                  <c:v>16.33181367196626</c:v>
                </c:pt>
                <c:pt idx="156">
                  <c:v>16.39060490776404</c:v>
                </c:pt>
                <c:pt idx="157">
                  <c:v>16.44882113296392</c:v>
                </c:pt>
                <c:pt idx="158">
                  <c:v>16.50644408438277</c:v>
                </c:pt>
                <c:pt idx="159">
                  <c:v>16.56345512189094</c:v>
                </c:pt>
                <c:pt idx="160">
                  <c:v>16.61983524670356</c:v>
                </c:pt>
                <c:pt idx="161">
                  <c:v>16.67556511990473</c:v>
                </c:pt>
                <c:pt idx="162">
                  <c:v>16.7306250811208</c:v>
                </c:pt>
                <c:pt idx="163">
                  <c:v>16.78499516726232</c:v>
                </c:pt>
                <c:pt idx="164">
                  <c:v>16.83865513125839</c:v>
                </c:pt>
                <c:pt idx="165">
                  <c:v>16.89158446071135</c:v>
                </c:pt>
                <c:pt idx="166">
                  <c:v>16.94376239640445</c:v>
                </c:pt>
                <c:pt idx="167">
                  <c:v>16.99516795059938</c:v>
                </c:pt>
                <c:pt idx="168">
                  <c:v>17.04577992506604</c:v>
                </c:pt>
                <c:pt idx="169">
                  <c:v>17.09557692879098</c:v>
                </c:pt>
                <c:pt idx="170">
                  <c:v>17.14453739531637</c:v>
                </c:pt>
                <c:pt idx="171">
                  <c:v>17.19263959966597</c:v>
                </c:pt>
                <c:pt idx="172">
                  <c:v>17.23986167481931</c:v>
                </c:pt>
                <c:pt idx="173">
                  <c:v>17.28618162770021</c:v>
                </c:pt>
                <c:pt idx="174">
                  <c:v>17.33157735464981</c:v>
                </c:pt>
                <c:pt idx="175">
                  <c:v>17.37602665635947</c:v>
                </c:pt>
                <c:pt idx="176">
                  <c:v>17.41950725224212</c:v>
                </c:pt>
                <c:pt idx="177">
                  <c:v>17.46199679422571</c:v>
                </c:pt>
                <c:pt idx="178">
                  <c:v>17.50347287995527</c:v>
                </c:pt>
                <c:pt idx="179">
                  <c:v>17.54391306539444</c:v>
                </c:pt>
                <c:pt idx="180">
                  <c:v>17.58329487682019</c:v>
                </c:pt>
                <c:pt idx="181">
                  <c:v>17.62159582220791</c:v>
                </c:pt>
                <c:pt idx="182">
                  <c:v>17.65879340200657</c:v>
                </c:pt>
                <c:pt idx="183">
                  <c:v>17.69486511930681</c:v>
                </c:pt>
                <c:pt idx="184">
                  <c:v>17.72978848940677</c:v>
                </c:pt>
                <c:pt idx="185">
                  <c:v>17.76354104878287</c:v>
                </c:pt>
                <c:pt idx="186">
                  <c:v>17.79610036347475</c:v>
                </c:pt>
                <c:pt idx="187">
                  <c:v>17.82744403689518</c:v>
                </c:pt>
                <c:pt idx="188">
                  <c:v>17.85754971707736</c:v>
                </c:pt>
                <c:pt idx="189">
                  <c:v>17.88639510337339</c:v>
                </c:pt>
                <c:pt idx="190">
                  <c:v>17.91395795261868</c:v>
                </c:pt>
                <c:pt idx="191">
                  <c:v>17.94021608477825</c:v>
                </c:pt>
                <c:pt idx="192">
                  <c:v>17.96514738809131</c:v>
                </c:pt>
                <c:pt idx="193">
                  <c:v>17.98872982373149</c:v>
                </c:pt>
                <c:pt idx="194">
                  <c:v>18.01094143000035</c:v>
                </c:pt>
                <c:pt idx="195">
                  <c:v>18.03176032607204</c:v>
                </c:pt>
                <c:pt idx="196">
                  <c:v>18.05116471530744</c:v>
                </c:pt>
                <c:pt idx="197">
                  <c:v>18.06913288815599</c:v>
                </c:pt>
                <c:pt idx="198">
                  <c:v>18.0856432246634</c:v>
                </c:pt>
                <c:pt idx="199">
                  <c:v>18.10067419660338</c:v>
                </c:pt>
                <c:pt idx="200">
                  <c:v>18.11420436925131</c:v>
                </c:pt>
                <c:pt idx="201">
                  <c:v>18.1262124028174</c:v>
                </c:pt>
                <c:pt idx="202">
                  <c:v>18.13667705355654</c:v>
                </c:pt>
                <c:pt idx="203">
                  <c:v>18.14557717457174</c:v>
                </c:pt>
                <c:pt idx="204">
                  <c:v>18.15289171632734</c:v>
                </c:pt>
                <c:pt idx="205">
                  <c:v>18.15859972688795</c:v>
                </c:pt>
                <c:pt idx="206">
                  <c:v>18.16268035189809</c:v>
                </c:pt>
                <c:pt idx="207">
                  <c:v>18.16511283431733</c:v>
                </c:pt>
                <c:pt idx="208">
                  <c:v>18.16587651392476</c:v>
                </c:pt>
                <c:pt idx="209">
                  <c:v>18.16495082660606</c:v>
                </c:pt>
                <c:pt idx="210">
                  <c:v>18.16231530343587</c:v>
                </c:pt>
              </c:numCache>
            </c:numRef>
          </c:yVal>
          <c:smooth val="0"/>
        </c:ser>
        <c:ser>
          <c:idx val="0"/>
          <c:order val="6"/>
          <c:tx>
            <c:strRef>
              <c:f>成長曲線_データ!$AK$2</c:f>
              <c:strCache>
                <c:ptCount val="1"/>
                <c:pt idx="0">
                  <c:v>3%tile</c:v>
                </c:pt>
              </c:strCache>
            </c:strRef>
          </c:tx>
          <c:spPr>
            <a:ln w="6350">
              <a:solidFill>
                <a:sysClr val="windowText" lastClr="000000"/>
              </a:solidFill>
              <a:prstDash val="sysDot"/>
            </a:ln>
          </c:spPr>
          <c:marker>
            <c:symbol val="none"/>
          </c:marker>
          <c:dLbls>
            <c:dLbl>
              <c:idx val="210"/>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成長曲線_データ!$D$4:$D$214</c:f>
              <c:numCache>
                <c:formatCode>0.00_ </c:formatCode>
                <c:ptCount val="211"/>
                <c:pt idx="0">
                  <c:v>0.0</c:v>
                </c:pt>
                <c:pt idx="1">
                  <c:v>0.0833333333333333</c:v>
                </c:pt>
                <c:pt idx="2">
                  <c:v>0.166666666666667</c:v>
                </c:pt>
                <c:pt idx="3">
                  <c:v>0.25</c:v>
                </c:pt>
                <c:pt idx="4">
                  <c:v>0.333333333333333</c:v>
                </c:pt>
                <c:pt idx="5">
                  <c:v>0.416666666666667</c:v>
                </c:pt>
                <c:pt idx="6">
                  <c:v>0.5</c:v>
                </c:pt>
                <c:pt idx="7">
                  <c:v>0.583333333333333</c:v>
                </c:pt>
                <c:pt idx="8">
                  <c:v>0.666666666666667</c:v>
                </c:pt>
                <c:pt idx="9">
                  <c:v>0.75</c:v>
                </c:pt>
                <c:pt idx="10">
                  <c:v>0.833333333333333</c:v>
                </c:pt>
                <c:pt idx="11">
                  <c:v>0.916666666666667</c:v>
                </c:pt>
                <c:pt idx="12">
                  <c:v>1.0</c:v>
                </c:pt>
                <c:pt idx="13">
                  <c:v>1.083333333333333</c:v>
                </c:pt>
                <c:pt idx="14">
                  <c:v>1.166666666666667</c:v>
                </c:pt>
                <c:pt idx="15">
                  <c:v>1.25</c:v>
                </c:pt>
                <c:pt idx="16">
                  <c:v>1.333333333333333</c:v>
                </c:pt>
                <c:pt idx="17">
                  <c:v>1.416666666666667</c:v>
                </c:pt>
                <c:pt idx="18">
                  <c:v>1.5</c:v>
                </c:pt>
                <c:pt idx="19">
                  <c:v>1.583333333333333</c:v>
                </c:pt>
                <c:pt idx="20">
                  <c:v>1.666666666666666</c:v>
                </c:pt>
                <c:pt idx="21">
                  <c:v>1.75</c:v>
                </c:pt>
                <c:pt idx="22">
                  <c:v>1.833333333333333</c:v>
                </c:pt>
                <c:pt idx="23">
                  <c:v>1.916666666666666</c:v>
                </c:pt>
                <c:pt idx="24">
                  <c:v>2.0</c:v>
                </c:pt>
                <c:pt idx="25">
                  <c:v>2.083333333333333</c:v>
                </c:pt>
                <c:pt idx="26">
                  <c:v>2.166666666666666</c:v>
                </c:pt>
                <c:pt idx="27">
                  <c:v>2.25</c:v>
                </c:pt>
                <c:pt idx="28">
                  <c:v>2.333333333333333</c:v>
                </c:pt>
                <c:pt idx="29">
                  <c:v>2.416666666666666</c:v>
                </c:pt>
                <c:pt idx="30">
                  <c:v>2.5</c:v>
                </c:pt>
                <c:pt idx="31">
                  <c:v>2.583333333333333</c:v>
                </c:pt>
                <c:pt idx="32">
                  <c:v>2.666666666666666</c:v>
                </c:pt>
                <c:pt idx="33">
                  <c:v>2.75</c:v>
                </c:pt>
                <c:pt idx="34">
                  <c:v>2.833333333333333</c:v>
                </c:pt>
                <c:pt idx="35">
                  <c:v>2.916666666666666</c:v>
                </c:pt>
                <c:pt idx="36">
                  <c:v>3.0</c:v>
                </c:pt>
                <c:pt idx="37">
                  <c:v>3.083333333333333</c:v>
                </c:pt>
                <c:pt idx="38">
                  <c:v>3.166666666666666</c:v>
                </c:pt>
                <c:pt idx="39">
                  <c:v>3.25</c:v>
                </c:pt>
                <c:pt idx="40">
                  <c:v>3.333333333333333</c:v>
                </c:pt>
                <c:pt idx="41">
                  <c:v>3.416666666666666</c:v>
                </c:pt>
                <c:pt idx="42">
                  <c:v>3.5</c:v>
                </c:pt>
                <c:pt idx="43">
                  <c:v>3.583333333333333</c:v>
                </c:pt>
                <c:pt idx="44">
                  <c:v>3.666666666666666</c:v>
                </c:pt>
                <c:pt idx="45">
                  <c:v>3.75</c:v>
                </c:pt>
                <c:pt idx="46">
                  <c:v>3.833333333333333</c:v>
                </c:pt>
                <c:pt idx="47">
                  <c:v>3.916666666666666</c:v>
                </c:pt>
                <c:pt idx="48">
                  <c:v>4.0</c:v>
                </c:pt>
                <c:pt idx="49">
                  <c:v>4.083333333333333</c:v>
                </c:pt>
                <c:pt idx="50">
                  <c:v>4.166666666666667</c:v>
                </c:pt>
                <c:pt idx="51">
                  <c:v>4.25</c:v>
                </c:pt>
                <c:pt idx="52">
                  <c:v>4.333333333333332</c:v>
                </c:pt>
                <c:pt idx="53">
                  <c:v>4.416666666666666</c:v>
                </c:pt>
                <c:pt idx="54">
                  <c:v>4.5</c:v>
                </c:pt>
                <c:pt idx="55">
                  <c:v>4.583333333333333</c:v>
                </c:pt>
                <c:pt idx="56">
                  <c:v>4.666666666666667</c:v>
                </c:pt>
                <c:pt idx="57">
                  <c:v>4.75</c:v>
                </c:pt>
                <c:pt idx="58">
                  <c:v>4.833333333333332</c:v>
                </c:pt>
                <c:pt idx="59">
                  <c:v>4.916666666666666</c:v>
                </c:pt>
                <c:pt idx="60">
                  <c:v>5.0</c:v>
                </c:pt>
                <c:pt idx="61">
                  <c:v>5.083333333333333</c:v>
                </c:pt>
                <c:pt idx="62">
                  <c:v>5.166666666666667</c:v>
                </c:pt>
                <c:pt idx="63">
                  <c:v>5.25</c:v>
                </c:pt>
                <c:pt idx="64">
                  <c:v>5.333333333333332</c:v>
                </c:pt>
                <c:pt idx="65">
                  <c:v>5.416666666666666</c:v>
                </c:pt>
                <c:pt idx="66">
                  <c:v>5.5</c:v>
                </c:pt>
                <c:pt idx="67">
                  <c:v>5.583333333333333</c:v>
                </c:pt>
                <c:pt idx="68">
                  <c:v>5.666666666666667</c:v>
                </c:pt>
                <c:pt idx="69">
                  <c:v>5.75</c:v>
                </c:pt>
                <c:pt idx="70">
                  <c:v>5.833333333333332</c:v>
                </c:pt>
                <c:pt idx="71">
                  <c:v>5.916666666666666</c:v>
                </c:pt>
                <c:pt idx="72">
                  <c:v>6.0</c:v>
                </c:pt>
                <c:pt idx="73">
                  <c:v>6.083333333333333</c:v>
                </c:pt>
                <c:pt idx="74">
                  <c:v>6.166666666666667</c:v>
                </c:pt>
                <c:pt idx="75">
                  <c:v>6.25</c:v>
                </c:pt>
                <c:pt idx="76">
                  <c:v>6.333333333333332</c:v>
                </c:pt>
                <c:pt idx="77">
                  <c:v>6.416666666666666</c:v>
                </c:pt>
                <c:pt idx="78">
                  <c:v>6.5</c:v>
                </c:pt>
                <c:pt idx="79">
                  <c:v>6.583333333333333</c:v>
                </c:pt>
                <c:pt idx="80">
                  <c:v>6.666666666666667</c:v>
                </c:pt>
                <c:pt idx="81">
                  <c:v>6.75</c:v>
                </c:pt>
                <c:pt idx="82">
                  <c:v>6.833333333333332</c:v>
                </c:pt>
                <c:pt idx="83">
                  <c:v>6.916666666666666</c:v>
                </c:pt>
                <c:pt idx="84">
                  <c:v>7.0</c:v>
                </c:pt>
                <c:pt idx="85">
                  <c:v>7.083333333333333</c:v>
                </c:pt>
                <c:pt idx="86">
                  <c:v>7.166666666666667</c:v>
                </c:pt>
                <c:pt idx="87">
                  <c:v>7.25</c:v>
                </c:pt>
                <c:pt idx="88">
                  <c:v>7.333333333333332</c:v>
                </c:pt>
                <c:pt idx="89">
                  <c:v>7.416666666666666</c:v>
                </c:pt>
                <c:pt idx="90">
                  <c:v>7.5</c:v>
                </c:pt>
                <c:pt idx="91">
                  <c:v>7.583333333333333</c:v>
                </c:pt>
                <c:pt idx="92">
                  <c:v>7.666666666666667</c:v>
                </c:pt>
                <c:pt idx="93">
                  <c:v>7.75</c:v>
                </c:pt>
                <c:pt idx="94">
                  <c:v>7.833333333333332</c:v>
                </c:pt>
                <c:pt idx="95">
                  <c:v>7.916666666666666</c:v>
                </c:pt>
                <c:pt idx="96">
                  <c:v>8.0</c:v>
                </c:pt>
                <c:pt idx="97">
                  <c:v>8.083333333333333</c:v>
                </c:pt>
                <c:pt idx="98">
                  <c:v>8.166666666666666</c:v>
                </c:pt>
                <c:pt idx="99">
                  <c:v>8.25</c:v>
                </c:pt>
                <c:pt idx="100">
                  <c:v>8.333333333333333</c:v>
                </c:pt>
                <c:pt idx="101">
                  <c:v>8.416666666666666</c:v>
                </c:pt>
                <c:pt idx="102">
                  <c:v>8.5</c:v>
                </c:pt>
                <c:pt idx="103">
                  <c:v>8.583333333333333</c:v>
                </c:pt>
                <c:pt idx="104">
                  <c:v>8.666666666666665</c:v>
                </c:pt>
                <c:pt idx="105">
                  <c:v>8.75</c:v>
                </c:pt>
                <c:pt idx="106">
                  <c:v>8.833333333333333</c:v>
                </c:pt>
                <c:pt idx="107">
                  <c:v>8.916666666666666</c:v>
                </c:pt>
                <c:pt idx="108">
                  <c:v>9.0</c:v>
                </c:pt>
                <c:pt idx="109">
                  <c:v>9.083333333333333</c:v>
                </c:pt>
                <c:pt idx="110">
                  <c:v>9.166666666666666</c:v>
                </c:pt>
                <c:pt idx="111">
                  <c:v>9.25</c:v>
                </c:pt>
                <c:pt idx="112">
                  <c:v>9.333333333333333</c:v>
                </c:pt>
                <c:pt idx="113">
                  <c:v>9.416666666666666</c:v>
                </c:pt>
                <c:pt idx="114">
                  <c:v>9.5</c:v>
                </c:pt>
                <c:pt idx="115">
                  <c:v>9.583333333333333</c:v>
                </c:pt>
                <c:pt idx="116">
                  <c:v>9.666666666666665</c:v>
                </c:pt>
                <c:pt idx="117">
                  <c:v>9.75</c:v>
                </c:pt>
                <c:pt idx="118">
                  <c:v>9.833333333333333</c:v>
                </c:pt>
                <c:pt idx="119">
                  <c:v>9.916666666666666</c:v>
                </c:pt>
                <c:pt idx="120">
                  <c:v>10.0</c:v>
                </c:pt>
                <c:pt idx="121">
                  <c:v>10.08333333333333</c:v>
                </c:pt>
                <c:pt idx="122">
                  <c:v>10.16666666666667</c:v>
                </c:pt>
                <c:pt idx="123">
                  <c:v>10.25</c:v>
                </c:pt>
                <c:pt idx="124">
                  <c:v>10.33333333333333</c:v>
                </c:pt>
                <c:pt idx="125">
                  <c:v>10.41666666666667</c:v>
                </c:pt>
                <c:pt idx="126">
                  <c:v>10.5</c:v>
                </c:pt>
                <c:pt idx="127">
                  <c:v>10.58333333333333</c:v>
                </c:pt>
                <c:pt idx="128">
                  <c:v>10.66666666666667</c:v>
                </c:pt>
                <c:pt idx="129">
                  <c:v>10.75</c:v>
                </c:pt>
                <c:pt idx="130">
                  <c:v>10.83333333333333</c:v>
                </c:pt>
                <c:pt idx="131">
                  <c:v>10.91666666666667</c:v>
                </c:pt>
                <c:pt idx="132">
                  <c:v>11.0</c:v>
                </c:pt>
                <c:pt idx="133">
                  <c:v>11.08333333333333</c:v>
                </c:pt>
                <c:pt idx="134">
                  <c:v>11.16666666666667</c:v>
                </c:pt>
                <c:pt idx="135">
                  <c:v>11.25</c:v>
                </c:pt>
                <c:pt idx="136">
                  <c:v>11.33333333333333</c:v>
                </c:pt>
                <c:pt idx="137">
                  <c:v>11.41666666666667</c:v>
                </c:pt>
                <c:pt idx="138">
                  <c:v>11.5</c:v>
                </c:pt>
                <c:pt idx="139">
                  <c:v>11.58333333333333</c:v>
                </c:pt>
                <c:pt idx="140">
                  <c:v>11.66666666666667</c:v>
                </c:pt>
                <c:pt idx="141">
                  <c:v>11.75</c:v>
                </c:pt>
                <c:pt idx="142">
                  <c:v>11.83333333333333</c:v>
                </c:pt>
                <c:pt idx="143">
                  <c:v>11.91666666666667</c:v>
                </c:pt>
                <c:pt idx="144">
                  <c:v>12.0</c:v>
                </c:pt>
                <c:pt idx="145">
                  <c:v>12.08333333333333</c:v>
                </c:pt>
                <c:pt idx="146">
                  <c:v>12.16666666666667</c:v>
                </c:pt>
                <c:pt idx="147">
                  <c:v>12.25</c:v>
                </c:pt>
                <c:pt idx="148">
                  <c:v>12.33333333333333</c:v>
                </c:pt>
                <c:pt idx="149">
                  <c:v>12.41666666666667</c:v>
                </c:pt>
                <c:pt idx="150">
                  <c:v>12.5</c:v>
                </c:pt>
                <c:pt idx="151">
                  <c:v>12.58333333333333</c:v>
                </c:pt>
                <c:pt idx="152">
                  <c:v>12.66666666666667</c:v>
                </c:pt>
                <c:pt idx="153">
                  <c:v>12.75</c:v>
                </c:pt>
                <c:pt idx="154">
                  <c:v>12.83333333333333</c:v>
                </c:pt>
                <c:pt idx="155">
                  <c:v>12.91666666666667</c:v>
                </c:pt>
                <c:pt idx="156">
                  <c:v>13.0</c:v>
                </c:pt>
                <c:pt idx="157">
                  <c:v>13.08333333333333</c:v>
                </c:pt>
                <c:pt idx="158">
                  <c:v>13.16666666666667</c:v>
                </c:pt>
                <c:pt idx="159">
                  <c:v>13.25</c:v>
                </c:pt>
                <c:pt idx="160">
                  <c:v>13.33333333333333</c:v>
                </c:pt>
                <c:pt idx="161">
                  <c:v>13.41666666666667</c:v>
                </c:pt>
                <c:pt idx="162">
                  <c:v>13.5</c:v>
                </c:pt>
                <c:pt idx="163">
                  <c:v>13.58333333333333</c:v>
                </c:pt>
                <c:pt idx="164">
                  <c:v>13.66666666666667</c:v>
                </c:pt>
                <c:pt idx="165">
                  <c:v>13.75</c:v>
                </c:pt>
                <c:pt idx="166">
                  <c:v>13.83333333333333</c:v>
                </c:pt>
                <c:pt idx="167">
                  <c:v>13.91666666666667</c:v>
                </c:pt>
                <c:pt idx="168">
                  <c:v>14.0</c:v>
                </c:pt>
                <c:pt idx="169">
                  <c:v>14.08333333333333</c:v>
                </c:pt>
                <c:pt idx="170">
                  <c:v>14.16666666666667</c:v>
                </c:pt>
                <c:pt idx="171">
                  <c:v>14.25</c:v>
                </c:pt>
                <c:pt idx="172">
                  <c:v>14.33333333333333</c:v>
                </c:pt>
                <c:pt idx="173">
                  <c:v>14.41666666666667</c:v>
                </c:pt>
                <c:pt idx="174">
                  <c:v>14.5</c:v>
                </c:pt>
                <c:pt idx="175">
                  <c:v>14.58333333333333</c:v>
                </c:pt>
                <c:pt idx="176">
                  <c:v>14.66666666666667</c:v>
                </c:pt>
                <c:pt idx="177">
                  <c:v>14.75</c:v>
                </c:pt>
                <c:pt idx="178">
                  <c:v>14.83333333333333</c:v>
                </c:pt>
                <c:pt idx="179">
                  <c:v>14.91666666666667</c:v>
                </c:pt>
                <c:pt idx="180">
                  <c:v>15.0</c:v>
                </c:pt>
                <c:pt idx="181">
                  <c:v>15.08333333333333</c:v>
                </c:pt>
                <c:pt idx="182">
                  <c:v>15.16666666666667</c:v>
                </c:pt>
                <c:pt idx="183">
                  <c:v>15.25</c:v>
                </c:pt>
                <c:pt idx="184">
                  <c:v>15.33333333333333</c:v>
                </c:pt>
                <c:pt idx="185">
                  <c:v>15.41666666666667</c:v>
                </c:pt>
                <c:pt idx="186">
                  <c:v>15.5</c:v>
                </c:pt>
                <c:pt idx="187">
                  <c:v>15.58333333333333</c:v>
                </c:pt>
                <c:pt idx="188">
                  <c:v>15.66666666666667</c:v>
                </c:pt>
                <c:pt idx="189">
                  <c:v>15.75</c:v>
                </c:pt>
                <c:pt idx="190">
                  <c:v>15.83333333333333</c:v>
                </c:pt>
                <c:pt idx="191">
                  <c:v>15.91666666666667</c:v>
                </c:pt>
                <c:pt idx="192">
                  <c:v>16.0</c:v>
                </c:pt>
                <c:pt idx="193">
                  <c:v>16.08333333333333</c:v>
                </c:pt>
                <c:pt idx="194">
                  <c:v>16.16666666666667</c:v>
                </c:pt>
                <c:pt idx="195">
                  <c:v>16.25</c:v>
                </c:pt>
                <c:pt idx="196">
                  <c:v>16.33333333333333</c:v>
                </c:pt>
                <c:pt idx="197">
                  <c:v>16.41666666666667</c:v>
                </c:pt>
                <c:pt idx="198">
                  <c:v>16.5</c:v>
                </c:pt>
                <c:pt idx="199">
                  <c:v>16.58333333333333</c:v>
                </c:pt>
                <c:pt idx="200">
                  <c:v>16.66666666666667</c:v>
                </c:pt>
                <c:pt idx="201">
                  <c:v>16.75</c:v>
                </c:pt>
                <c:pt idx="202">
                  <c:v>16.83333333333333</c:v>
                </c:pt>
                <c:pt idx="203">
                  <c:v>16.91666666666667</c:v>
                </c:pt>
                <c:pt idx="204">
                  <c:v>17.0</c:v>
                </c:pt>
                <c:pt idx="205">
                  <c:v>17.08333333333333</c:v>
                </c:pt>
                <c:pt idx="206">
                  <c:v>17.16666666666667</c:v>
                </c:pt>
                <c:pt idx="207">
                  <c:v>17.25</c:v>
                </c:pt>
                <c:pt idx="208">
                  <c:v>17.33333333333333</c:v>
                </c:pt>
                <c:pt idx="209">
                  <c:v>17.41666666666667</c:v>
                </c:pt>
                <c:pt idx="210">
                  <c:v>17.5</c:v>
                </c:pt>
              </c:numCache>
            </c:numRef>
          </c:xVal>
          <c:yVal>
            <c:numRef>
              <c:f>成長曲線_データ!$AK$4:$AK$214</c:f>
              <c:numCache>
                <c:formatCode>General</c:formatCode>
                <c:ptCount val="211"/>
                <c:pt idx="0">
                  <c:v>10.50294942973601</c:v>
                </c:pt>
                <c:pt idx="1">
                  <c:v>12.03734803636004</c:v>
                </c:pt>
                <c:pt idx="2">
                  <c:v>13.07181379573619</c:v>
                </c:pt>
                <c:pt idx="3">
                  <c:v>13.71411503837435</c:v>
                </c:pt>
                <c:pt idx="4">
                  <c:v>14.12341386086035</c:v>
                </c:pt>
                <c:pt idx="5">
                  <c:v>14.35287691808581</c:v>
                </c:pt>
                <c:pt idx="6">
                  <c:v>14.43853102508288</c:v>
                </c:pt>
                <c:pt idx="7">
                  <c:v>14.41679682887786</c:v>
                </c:pt>
                <c:pt idx="8">
                  <c:v>14.32444413847208</c:v>
                </c:pt>
                <c:pt idx="9">
                  <c:v>14.19854980961165</c:v>
                </c:pt>
                <c:pt idx="10">
                  <c:v>14.07447228051273</c:v>
                </c:pt>
                <c:pt idx="11">
                  <c:v>13.96370604824906</c:v>
                </c:pt>
                <c:pt idx="12">
                  <c:v>13.86521103872911</c:v>
                </c:pt>
                <c:pt idx="13">
                  <c:v>13.77824658851495</c:v>
                </c:pt>
                <c:pt idx="14">
                  <c:v>13.70205840608561</c:v>
                </c:pt>
                <c:pt idx="15">
                  <c:v>13.63587977160696</c:v>
                </c:pt>
                <c:pt idx="16">
                  <c:v>13.57893267111592</c:v>
                </c:pt>
                <c:pt idx="17">
                  <c:v>13.53042886895534</c:v>
                </c:pt>
                <c:pt idx="18">
                  <c:v>13.48957092187092</c:v>
                </c:pt>
                <c:pt idx="19">
                  <c:v>13.45555313780737</c:v>
                </c:pt>
                <c:pt idx="20">
                  <c:v>13.42756248210964</c:v>
                </c:pt>
                <c:pt idx="21">
                  <c:v>13.40477943354377</c:v>
                </c:pt>
                <c:pt idx="22">
                  <c:v>13.38637879229866</c:v>
                </c:pt>
                <c:pt idx="23">
                  <c:v>13.37153044190017</c:v>
                </c:pt>
                <c:pt idx="24">
                  <c:v>13.35940006678645</c:v>
                </c:pt>
                <c:pt idx="25">
                  <c:v>13.3491498271099</c:v>
                </c:pt>
                <c:pt idx="26">
                  <c:v>13.33993899219907</c:v>
                </c:pt>
                <c:pt idx="27">
                  <c:v>13.33093427490534</c:v>
                </c:pt>
                <c:pt idx="28">
                  <c:v>13.32172475751075</c:v>
                </c:pt>
                <c:pt idx="29">
                  <c:v>13.31233862601767</c:v>
                </c:pt>
                <c:pt idx="30">
                  <c:v>13.30280096650412</c:v>
                </c:pt>
                <c:pt idx="31">
                  <c:v>13.29313627973958</c:v>
                </c:pt>
                <c:pt idx="32">
                  <c:v>13.28336850167982</c:v>
                </c:pt>
                <c:pt idx="33">
                  <c:v>13.27352102187872</c:v>
                </c:pt>
                <c:pt idx="34">
                  <c:v>13.26361669997982</c:v>
                </c:pt>
                <c:pt idx="35">
                  <c:v>13.25367788044276</c:v>
                </c:pt>
                <c:pt idx="36">
                  <c:v>13.24372640565195</c:v>
                </c:pt>
                <c:pt idx="37">
                  <c:v>13.23378362754813</c:v>
                </c:pt>
                <c:pt idx="38">
                  <c:v>13.22387041791717</c:v>
                </c:pt>
                <c:pt idx="39">
                  <c:v>13.21400717746387</c:v>
                </c:pt>
                <c:pt idx="40">
                  <c:v>13.20421384379311</c:v>
                </c:pt>
                <c:pt idx="41">
                  <c:v>13.19450989841455</c:v>
                </c:pt>
                <c:pt idx="42">
                  <c:v>13.18491437288185</c:v>
                </c:pt>
                <c:pt idx="43">
                  <c:v>13.17544585417182</c:v>
                </c:pt>
                <c:pt idx="44">
                  <c:v>13.16612248940377</c:v>
                </c:pt>
                <c:pt idx="45">
                  <c:v>13.15696198999362</c:v>
                </c:pt>
                <c:pt idx="46">
                  <c:v>13.14798163533283</c:v>
                </c:pt>
                <c:pt idx="47">
                  <c:v>13.13919827607649</c:v>
                </c:pt>
                <c:pt idx="48">
                  <c:v>13.13062833711995</c:v>
                </c:pt>
                <c:pt idx="49">
                  <c:v>13.12228782033855</c:v>
                </c:pt>
                <c:pt idx="50">
                  <c:v>13.11419230715951</c:v>
                </c:pt>
                <c:pt idx="51">
                  <c:v>13.10635696103048</c:v>
                </c:pt>
                <c:pt idx="52">
                  <c:v>13.098796529844</c:v>
                </c:pt>
                <c:pt idx="53">
                  <c:v>13.09152534837229</c:v>
                </c:pt>
                <c:pt idx="54">
                  <c:v>13.0845573407622</c:v>
                </c:pt>
                <c:pt idx="55">
                  <c:v>13.07790602313497</c:v>
                </c:pt>
                <c:pt idx="56">
                  <c:v>13.07158450633125</c:v>
                </c:pt>
                <c:pt idx="57">
                  <c:v>13.065605498837</c:v>
                </c:pt>
                <c:pt idx="58">
                  <c:v>13.05998130992166</c:v>
                </c:pt>
                <c:pt idx="59">
                  <c:v>13.05472385301564</c:v>
                </c:pt>
                <c:pt idx="60">
                  <c:v>13.04984464935009</c:v>
                </c:pt>
                <c:pt idx="61">
                  <c:v>13.045354831878</c:v>
                </c:pt>
                <c:pt idx="62">
                  <c:v>13.04126514949187</c:v>
                </c:pt>
                <c:pt idx="63">
                  <c:v>13.03758597154977</c:v>
                </c:pt>
                <c:pt idx="64">
                  <c:v>13.03432729271797</c:v>
                </c:pt>
                <c:pt idx="65">
                  <c:v>13.03149873813551</c:v>
                </c:pt>
                <c:pt idx="66">
                  <c:v>13.0291095689029</c:v>
                </c:pt>
                <c:pt idx="67">
                  <c:v>13.02716868789447</c:v>
                </c:pt>
                <c:pt idx="68">
                  <c:v>13.0256846458915</c:v>
                </c:pt>
                <c:pt idx="69">
                  <c:v>13.02466540465531</c:v>
                </c:pt>
                <c:pt idx="70">
                  <c:v>13.02396847071298</c:v>
                </c:pt>
                <c:pt idx="71">
                  <c:v>13.0234505248443</c:v>
                </c:pt>
                <c:pt idx="72">
                  <c:v>13.02311903057149</c:v>
                </c:pt>
                <c:pt idx="73">
                  <c:v>13.02298106558094</c:v>
                </c:pt>
                <c:pt idx="74">
                  <c:v>13.02304335864232</c:v>
                </c:pt>
                <c:pt idx="75">
                  <c:v>13.02331232492963</c:v>
                </c:pt>
                <c:pt idx="76">
                  <c:v>13.02379409990297</c:v>
                </c:pt>
                <c:pt idx="77">
                  <c:v>13.02449457189554</c:v>
                </c:pt>
                <c:pt idx="78">
                  <c:v>13.02541941353716</c:v>
                </c:pt>
                <c:pt idx="79">
                  <c:v>13.02657411213428</c:v>
                </c:pt>
                <c:pt idx="80">
                  <c:v>13.02796399911571</c:v>
                </c:pt>
                <c:pt idx="81">
                  <c:v>13.02959427864456</c:v>
                </c:pt>
                <c:pt idx="82">
                  <c:v>13.03147005548797</c:v>
                </c:pt>
                <c:pt idx="83">
                  <c:v>13.0335963622292</c:v>
                </c:pt>
                <c:pt idx="84">
                  <c:v>13.0359781858993</c:v>
                </c:pt>
                <c:pt idx="85">
                  <c:v>13.03862049409965</c:v>
                </c:pt>
                <c:pt idx="86">
                  <c:v>13.04152826068061</c:v>
                </c:pt>
                <c:pt idx="87">
                  <c:v>13.04470649103615</c:v>
                </c:pt>
                <c:pt idx="88">
                  <c:v>13.04816024706937</c:v>
                </c:pt>
                <c:pt idx="89">
                  <c:v>13.05189467187881</c:v>
                </c:pt>
                <c:pt idx="90">
                  <c:v>13.05591102697253</c:v>
                </c:pt>
                <c:pt idx="91">
                  <c:v>13.06070497020795</c:v>
                </c:pt>
                <c:pt idx="92">
                  <c:v>13.06674177089963</c:v>
                </c:pt>
                <c:pt idx="93">
                  <c:v>13.07399944712657</c:v>
                </c:pt>
                <c:pt idx="94">
                  <c:v>13.08245654574231</c:v>
                </c:pt>
                <c:pt idx="95">
                  <c:v>13.09209212942168</c:v>
                </c:pt>
                <c:pt idx="96">
                  <c:v>13.10288576522033</c:v>
                </c:pt>
                <c:pt idx="97">
                  <c:v>13.1148175145647</c:v>
                </c:pt>
                <c:pt idx="98">
                  <c:v>13.12786792459281</c:v>
                </c:pt>
                <c:pt idx="99">
                  <c:v>13.14201802076964</c:v>
                </c:pt>
                <c:pt idx="100">
                  <c:v>13.15724930070298</c:v>
                </c:pt>
                <c:pt idx="101">
                  <c:v>13.17354372908876</c:v>
                </c:pt>
                <c:pt idx="102">
                  <c:v>13.19088373371622</c:v>
                </c:pt>
                <c:pt idx="103">
                  <c:v>13.20925220246535</c:v>
                </c:pt>
                <c:pt idx="104">
                  <c:v>13.22863248123048</c:v>
                </c:pt>
                <c:pt idx="105">
                  <c:v>13.24900837270493</c:v>
                </c:pt>
                <c:pt idx="106">
                  <c:v>13.27036413596224</c:v>
                </c:pt>
                <c:pt idx="107">
                  <c:v>13.29268448677045</c:v>
                </c:pt>
                <c:pt idx="108">
                  <c:v>13.3159545985755</c:v>
                </c:pt>
                <c:pt idx="109">
                  <c:v>13.34016010409008</c:v>
                </c:pt>
                <c:pt idx="110">
                  <c:v>13.36528709742371</c:v>
                </c:pt>
                <c:pt idx="111">
                  <c:v>13.39132213668914</c:v>
                </c:pt>
                <c:pt idx="112">
                  <c:v>13.41825224701904</c:v>
                </c:pt>
                <c:pt idx="113">
                  <c:v>13.44606492392603</c:v>
                </c:pt>
                <c:pt idx="114">
                  <c:v>13.47474813693723</c:v>
                </c:pt>
                <c:pt idx="115">
                  <c:v>13.50429033343315</c:v>
                </c:pt>
                <c:pt idx="116">
                  <c:v>13.53468044261847</c:v>
                </c:pt>
                <c:pt idx="117">
                  <c:v>13.56590787955056</c:v>
                </c:pt>
                <c:pt idx="118">
                  <c:v>13.5979625491489</c:v>
                </c:pt>
                <c:pt idx="119">
                  <c:v>13.63083485010655</c:v>
                </c:pt>
                <c:pt idx="120">
                  <c:v>13.66451567862194</c:v>
                </c:pt>
                <c:pt idx="121">
                  <c:v>13.69899643186709</c:v>
                </c:pt>
                <c:pt idx="122">
                  <c:v>13.7342690111054</c:v>
                </c:pt>
                <c:pt idx="123">
                  <c:v>13.77032582436974</c:v>
                </c:pt>
                <c:pt idx="124">
                  <c:v>13.80715978860917</c:v>
                </c:pt>
                <c:pt idx="125">
                  <c:v>13.84476433120987</c:v>
                </c:pt>
                <c:pt idx="126">
                  <c:v>13.8831333907939</c:v>
                </c:pt>
                <c:pt idx="127">
                  <c:v>13.92226141719732</c:v>
                </c:pt>
                <c:pt idx="128">
                  <c:v>13.96214337052723</c:v>
                </c:pt>
                <c:pt idx="129">
                  <c:v>14.00277471919636</c:v>
                </c:pt>
                <c:pt idx="130">
                  <c:v>14.04415143683215</c:v>
                </c:pt>
                <c:pt idx="131">
                  <c:v>14.0862699979576</c:v>
                </c:pt>
                <c:pt idx="132">
                  <c:v>14.12912737234048</c:v>
                </c:pt>
                <c:pt idx="133">
                  <c:v>14.17272101790883</c:v>
                </c:pt>
                <c:pt idx="134">
                  <c:v>14.21704887213147</c:v>
                </c:pt>
                <c:pt idx="135">
                  <c:v>14.26210934176516</c:v>
                </c:pt>
                <c:pt idx="136">
                  <c:v>14.30790129087257</c:v>
                </c:pt>
                <c:pt idx="137">
                  <c:v>14.35442402701957</c:v>
                </c:pt>
                <c:pt idx="138">
                  <c:v>14.40167728556535</c:v>
                </c:pt>
                <c:pt idx="139">
                  <c:v>14.44966121196487</c:v>
                </c:pt>
                <c:pt idx="140">
                  <c:v>14.49837634201062</c:v>
                </c:pt>
                <c:pt idx="141">
                  <c:v>14.54782357994902</c:v>
                </c:pt>
                <c:pt idx="142">
                  <c:v>14.59800417441646</c:v>
                </c:pt>
                <c:pt idx="143">
                  <c:v>14.64891969215081</c:v>
                </c:pt>
                <c:pt idx="144">
                  <c:v>14.7005719894467</c:v>
                </c:pt>
                <c:pt idx="145">
                  <c:v>14.75296318133594</c:v>
                </c:pt>
                <c:pt idx="146">
                  <c:v>14.80609560848932</c:v>
                </c:pt>
                <c:pt idx="147">
                  <c:v>14.85997180185188</c:v>
                </c:pt>
                <c:pt idx="148">
                  <c:v>14.91459444504046</c:v>
                </c:pt>
                <c:pt idx="149">
                  <c:v>14.96996633455067</c:v>
                </c:pt>
                <c:pt idx="150">
                  <c:v>15.03234134075292</c:v>
                </c:pt>
                <c:pt idx="151">
                  <c:v>15.08880594814531</c:v>
                </c:pt>
                <c:pt idx="152">
                  <c:v>15.14502155638598</c:v>
                </c:pt>
                <c:pt idx="153">
                  <c:v>15.20097086882402</c:v>
                </c:pt>
                <c:pt idx="154">
                  <c:v>15.25663575432391</c:v>
                </c:pt>
                <c:pt idx="155">
                  <c:v>15.31199727770705</c:v>
                </c:pt>
                <c:pt idx="156">
                  <c:v>15.36703573176016</c:v>
                </c:pt>
                <c:pt idx="157">
                  <c:v>15.42173067058837</c:v>
                </c:pt>
                <c:pt idx="158">
                  <c:v>15.4760609440928</c:v>
                </c:pt>
                <c:pt idx="159">
                  <c:v>15.5300047333558</c:v>
                </c:pt>
                <c:pt idx="160">
                  <c:v>15.58353958672276</c:v>
                </c:pt>
                <c:pt idx="161">
                  <c:v>15.63664245637528</c:v>
                </c:pt>
                <c:pt idx="162">
                  <c:v>15.68928973519968</c:v>
                </c:pt>
                <c:pt idx="163">
                  <c:v>15.74145729376279</c:v>
                </c:pt>
                <c:pt idx="164">
                  <c:v>15.79312051721805</c:v>
                </c:pt>
                <c:pt idx="165">
                  <c:v>15.84425434197508</c:v>
                </c:pt>
                <c:pt idx="166">
                  <c:v>15.8948332919779</c:v>
                </c:pt>
                <c:pt idx="167">
                  <c:v>15.94483151444853</c:v>
                </c:pt>
                <c:pt idx="168">
                  <c:v>15.99422281496525</c:v>
                </c:pt>
                <c:pt idx="169">
                  <c:v>16.04298069175666</c:v>
                </c:pt>
                <c:pt idx="170">
                  <c:v>16.09107836910558</c:v>
                </c:pt>
                <c:pt idx="171">
                  <c:v>16.13848882976874</c:v>
                </c:pt>
                <c:pt idx="172">
                  <c:v>16.1851848463301</c:v>
                </c:pt>
                <c:pt idx="173">
                  <c:v>16.23113901141769</c:v>
                </c:pt>
                <c:pt idx="174">
                  <c:v>16.2763237667248</c:v>
                </c:pt>
                <c:pt idx="175">
                  <c:v>16.32071143078731</c:v>
                </c:pt>
                <c:pt idx="176">
                  <c:v>16.3642742254789</c:v>
                </c:pt>
                <c:pt idx="177">
                  <c:v>16.40698430119622</c:v>
                </c:pt>
                <c:pt idx="178">
                  <c:v>16.448813760714</c:v>
                </c:pt>
                <c:pt idx="179">
                  <c:v>16.48973468169993</c:v>
                </c:pt>
                <c:pt idx="180">
                  <c:v>16.52971913788523</c:v>
                </c:pt>
                <c:pt idx="181">
                  <c:v>16.56873921889546</c:v>
                </c:pt>
                <c:pt idx="182">
                  <c:v>16.60676704875115</c:v>
                </c:pt>
                <c:pt idx="183">
                  <c:v>16.64377480305465</c:v>
                </c:pt>
                <c:pt idx="184">
                  <c:v>16.67973472488383</c:v>
                </c:pt>
                <c:pt idx="185">
                  <c:v>16.71461913941834</c:v>
                </c:pt>
                <c:pt idx="186">
                  <c:v>16.74840046732757</c:v>
                </c:pt>
                <c:pt idx="187">
                  <c:v>16.78105123695287</c:v>
                </c:pt>
                <c:pt idx="188">
                  <c:v>16.81254409531956</c:v>
                </c:pt>
                <c:pt idx="189">
                  <c:v>16.84285181801586</c:v>
                </c:pt>
                <c:pt idx="190">
                  <c:v>16.8719473179784</c:v>
                </c:pt>
                <c:pt idx="191">
                  <c:v>16.89980365322449</c:v>
                </c:pt>
                <c:pt idx="192">
                  <c:v>16.92639403357274</c:v>
                </c:pt>
                <c:pt idx="193">
                  <c:v>16.9516918263937</c:v>
                </c:pt>
                <c:pt idx="194">
                  <c:v>16.9756705614328</c:v>
                </c:pt>
                <c:pt idx="195">
                  <c:v>16.99830393474703</c:v>
                </c:pt>
                <c:pt idx="196">
                  <c:v>17.01956581179689</c:v>
                </c:pt>
                <c:pt idx="197">
                  <c:v>17.03943022973416</c:v>
                </c:pt>
                <c:pt idx="198">
                  <c:v>17.05787139892492</c:v>
                </c:pt>
                <c:pt idx="199">
                  <c:v>17.0748637037464</c:v>
                </c:pt>
                <c:pt idx="200">
                  <c:v>17.09038170269445</c:v>
                </c:pt>
                <c:pt idx="201">
                  <c:v>17.1044001278375</c:v>
                </c:pt>
                <c:pt idx="202">
                  <c:v>17.11689388365012</c:v>
                </c:pt>
                <c:pt idx="203">
                  <c:v>17.12783804525895</c:v>
                </c:pt>
                <c:pt idx="204">
                  <c:v>17.1372078561303</c:v>
                </c:pt>
                <c:pt idx="205">
                  <c:v>17.14497872522796</c:v>
                </c:pt>
                <c:pt idx="206">
                  <c:v>17.1511262236668</c:v>
                </c:pt>
                <c:pt idx="207">
                  <c:v>17.1556260808858</c:v>
                </c:pt>
                <c:pt idx="208">
                  <c:v>17.15845418036209</c:v>
                </c:pt>
                <c:pt idx="209">
                  <c:v>17.15958655488481</c:v>
                </c:pt>
                <c:pt idx="210">
                  <c:v>17.15899938140544</c:v>
                </c:pt>
              </c:numCache>
            </c:numRef>
          </c:yVal>
          <c:smooth val="0"/>
        </c:ser>
        <c:ser>
          <c:idx val="3"/>
          <c:order val="7"/>
          <c:tx>
            <c:strRef>
              <c:f>入力!$V$12</c:f>
              <c:strCache>
                <c:ptCount val="1"/>
                <c:pt idx="0">
                  <c:v> BMI</c:v>
                </c:pt>
              </c:strCache>
            </c:strRef>
          </c:tx>
          <c:spPr>
            <a:ln w="38100">
              <a:noFill/>
            </a:ln>
          </c:spPr>
          <c:marker>
            <c:symbol val="circle"/>
            <c:size val="8"/>
            <c:spPr>
              <a:solidFill>
                <a:srgbClr val="FF0000"/>
              </a:solidFill>
              <a:ln w="28575">
                <a:solidFill>
                  <a:schemeClr val="bg1"/>
                </a:solidFill>
              </a:ln>
            </c:spPr>
          </c:marker>
          <c:xVal>
            <c:numRef>
              <c:f>入力!$W$7:$W$156</c:f>
              <c:numCache>
                <c:formatCode>0.00_);[Red]\(0.00\)</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入力!$O$7:$O$156</c:f>
              <c:numCache>
                <c:formatCode>0.0_ </c:formatCode>
                <c:ptCount val="150"/>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pt idx="52">
                  <c:v>0.0</c:v>
                </c:pt>
                <c:pt idx="53">
                  <c:v>0.0</c:v>
                </c:pt>
                <c:pt idx="54">
                  <c:v>0.0</c:v>
                </c:pt>
                <c:pt idx="55">
                  <c:v>0.0</c:v>
                </c:pt>
                <c:pt idx="56">
                  <c:v>0.0</c:v>
                </c:pt>
                <c:pt idx="57">
                  <c:v>0.0</c:v>
                </c:pt>
                <c:pt idx="58">
                  <c:v>0.0</c:v>
                </c:pt>
                <c:pt idx="59">
                  <c:v>0.0</c:v>
                </c:pt>
                <c:pt idx="60">
                  <c:v>0.0</c:v>
                </c:pt>
                <c:pt idx="61">
                  <c:v>0.0</c:v>
                </c:pt>
                <c:pt idx="62">
                  <c:v>0.0</c:v>
                </c:pt>
                <c:pt idx="63">
                  <c:v>0.0</c:v>
                </c:pt>
                <c:pt idx="64">
                  <c:v>0.0</c:v>
                </c:pt>
                <c:pt idx="65">
                  <c:v>0.0</c:v>
                </c:pt>
                <c:pt idx="66">
                  <c:v>0.0</c:v>
                </c:pt>
                <c:pt idx="67">
                  <c:v>0.0</c:v>
                </c:pt>
                <c:pt idx="68">
                  <c:v>0.0</c:v>
                </c:pt>
                <c:pt idx="69">
                  <c:v>0.0</c:v>
                </c:pt>
                <c:pt idx="70">
                  <c:v>0.0</c:v>
                </c:pt>
                <c:pt idx="71">
                  <c:v>0.0</c:v>
                </c:pt>
                <c:pt idx="72">
                  <c:v>0.0</c:v>
                </c:pt>
                <c:pt idx="73">
                  <c:v>0.0</c:v>
                </c:pt>
                <c:pt idx="74">
                  <c:v>0.0</c:v>
                </c:pt>
                <c:pt idx="75">
                  <c:v>0.0</c:v>
                </c:pt>
                <c:pt idx="76">
                  <c:v>0.0</c:v>
                </c:pt>
                <c:pt idx="77">
                  <c:v>0.0</c:v>
                </c:pt>
                <c:pt idx="78">
                  <c:v>0.0</c:v>
                </c:pt>
                <c:pt idx="79">
                  <c:v>0.0</c:v>
                </c:pt>
                <c:pt idx="80">
                  <c:v>0.0</c:v>
                </c:pt>
                <c:pt idx="81">
                  <c:v>0.0</c:v>
                </c:pt>
                <c:pt idx="82">
                  <c:v>0.0</c:v>
                </c:pt>
                <c:pt idx="83">
                  <c:v>0.0</c:v>
                </c:pt>
                <c:pt idx="84">
                  <c:v>0.0</c:v>
                </c:pt>
                <c:pt idx="85">
                  <c:v>0.0</c:v>
                </c:pt>
                <c:pt idx="86">
                  <c:v>0.0</c:v>
                </c:pt>
                <c:pt idx="87">
                  <c:v>0.0</c:v>
                </c:pt>
                <c:pt idx="88">
                  <c:v>0.0</c:v>
                </c:pt>
                <c:pt idx="89">
                  <c:v>0.0</c:v>
                </c:pt>
                <c:pt idx="90">
                  <c:v>0.0</c:v>
                </c:pt>
                <c:pt idx="91">
                  <c:v>0.0</c:v>
                </c:pt>
                <c:pt idx="92">
                  <c:v>0.0</c:v>
                </c:pt>
                <c:pt idx="93">
                  <c:v>0.0</c:v>
                </c:pt>
                <c:pt idx="94">
                  <c:v>0.0</c:v>
                </c:pt>
                <c:pt idx="95">
                  <c:v>0.0</c:v>
                </c:pt>
                <c:pt idx="96">
                  <c:v>0.0</c:v>
                </c:pt>
                <c:pt idx="97">
                  <c:v>0.0</c:v>
                </c:pt>
                <c:pt idx="98">
                  <c:v>0.0</c:v>
                </c:pt>
                <c:pt idx="99">
                  <c:v>0.0</c:v>
                </c:pt>
                <c:pt idx="100">
                  <c:v>0.0</c:v>
                </c:pt>
                <c:pt idx="101">
                  <c:v>0.0</c:v>
                </c:pt>
                <c:pt idx="102">
                  <c:v>0.0</c:v>
                </c:pt>
                <c:pt idx="103">
                  <c:v>0.0</c:v>
                </c:pt>
                <c:pt idx="104">
                  <c:v>0.0</c:v>
                </c:pt>
                <c:pt idx="105">
                  <c:v>0.0</c:v>
                </c:pt>
                <c:pt idx="106">
                  <c:v>0.0</c:v>
                </c:pt>
                <c:pt idx="107">
                  <c:v>0.0</c:v>
                </c:pt>
                <c:pt idx="108">
                  <c:v>0.0</c:v>
                </c:pt>
                <c:pt idx="109">
                  <c:v>0.0</c:v>
                </c:pt>
                <c:pt idx="110">
                  <c:v>0.0</c:v>
                </c:pt>
                <c:pt idx="111">
                  <c:v>0.0</c:v>
                </c:pt>
                <c:pt idx="112">
                  <c:v>0.0</c:v>
                </c:pt>
                <c:pt idx="113">
                  <c:v>0.0</c:v>
                </c:pt>
                <c:pt idx="114">
                  <c:v>0.0</c:v>
                </c:pt>
                <c:pt idx="115">
                  <c:v>0.0</c:v>
                </c:pt>
                <c:pt idx="116">
                  <c:v>0.0</c:v>
                </c:pt>
                <c:pt idx="117">
                  <c:v>0.0</c:v>
                </c:pt>
                <c:pt idx="118">
                  <c:v>0.0</c:v>
                </c:pt>
                <c:pt idx="119">
                  <c:v>0.0</c:v>
                </c:pt>
                <c:pt idx="120">
                  <c:v>0.0</c:v>
                </c:pt>
                <c:pt idx="121">
                  <c:v>0.0</c:v>
                </c:pt>
                <c:pt idx="122">
                  <c:v>0.0</c:v>
                </c:pt>
                <c:pt idx="123">
                  <c:v>0.0</c:v>
                </c:pt>
                <c:pt idx="124">
                  <c:v>0.0</c:v>
                </c:pt>
                <c:pt idx="125">
                  <c:v>0.0</c:v>
                </c:pt>
                <c:pt idx="126">
                  <c:v>0.0</c:v>
                </c:pt>
                <c:pt idx="127">
                  <c:v>0.0</c:v>
                </c:pt>
                <c:pt idx="128">
                  <c:v>0.0</c:v>
                </c:pt>
                <c:pt idx="129">
                  <c:v>0.0</c:v>
                </c:pt>
                <c:pt idx="130">
                  <c:v>0.0</c:v>
                </c:pt>
                <c:pt idx="131">
                  <c:v>0.0</c:v>
                </c:pt>
                <c:pt idx="132">
                  <c:v>0.0</c:v>
                </c:pt>
                <c:pt idx="133">
                  <c:v>0.0</c:v>
                </c:pt>
                <c:pt idx="134">
                  <c:v>0.0</c:v>
                </c:pt>
                <c:pt idx="135">
                  <c:v>0.0</c:v>
                </c:pt>
                <c:pt idx="136">
                  <c:v>0.0</c:v>
                </c:pt>
                <c:pt idx="137">
                  <c:v>0.0</c:v>
                </c:pt>
                <c:pt idx="138">
                  <c:v>0.0</c:v>
                </c:pt>
                <c:pt idx="139">
                  <c:v>0.0</c:v>
                </c:pt>
                <c:pt idx="140">
                  <c:v>0.0</c:v>
                </c:pt>
                <c:pt idx="141">
                  <c:v>0.0</c:v>
                </c:pt>
                <c:pt idx="142">
                  <c:v>0.0</c:v>
                </c:pt>
                <c:pt idx="143">
                  <c:v>0.0</c:v>
                </c:pt>
                <c:pt idx="144">
                  <c:v>0.0</c:v>
                </c:pt>
                <c:pt idx="145">
                  <c:v>0.0</c:v>
                </c:pt>
                <c:pt idx="146">
                  <c:v>0.0</c:v>
                </c:pt>
                <c:pt idx="147">
                  <c:v>0.0</c:v>
                </c:pt>
                <c:pt idx="148">
                  <c:v>0.0</c:v>
                </c:pt>
                <c:pt idx="149">
                  <c:v>0.0</c:v>
                </c:pt>
              </c:numCache>
            </c:numRef>
          </c:yVal>
          <c:smooth val="0"/>
        </c:ser>
        <c:dLbls>
          <c:showLegendKey val="0"/>
          <c:showVal val="0"/>
          <c:showCatName val="0"/>
          <c:showSerName val="0"/>
          <c:showPercent val="0"/>
          <c:showBubbleSize val="0"/>
        </c:dLbls>
        <c:axId val="-962244480"/>
        <c:axId val="-962515328"/>
      </c:scatterChart>
      <c:valAx>
        <c:axId val="-962244480"/>
        <c:scaling>
          <c:orientation val="minMax"/>
          <c:max val="18.0"/>
        </c:scaling>
        <c:delete val="0"/>
        <c:axPos val="b"/>
        <c:majorGridlines/>
        <c:title>
          <c:tx>
            <c:rich>
              <a:bodyPr/>
              <a:lstStyle/>
              <a:p>
                <a:pPr>
                  <a:defRPr/>
                </a:pPr>
                <a:r>
                  <a:rPr lang="ja-JP" altLang="en-US"/>
                  <a:t>年齢</a:t>
                </a:r>
                <a:r>
                  <a:rPr lang="en-US" altLang="ja-JP"/>
                  <a:t>(</a:t>
                </a:r>
                <a:r>
                  <a:rPr lang="ja-JP" altLang="en-US"/>
                  <a:t>年</a:t>
                </a:r>
                <a:r>
                  <a:rPr lang="en-US" altLang="ja-JP"/>
                  <a:t>)</a:t>
                </a:r>
                <a:endParaRPr lang="ja-JP" altLang="en-US"/>
              </a:p>
            </c:rich>
          </c:tx>
          <c:overlay val="0"/>
        </c:title>
        <c:numFmt formatCode="General" sourceLinked="0"/>
        <c:majorTickMark val="out"/>
        <c:minorTickMark val="none"/>
        <c:tickLblPos val="nextTo"/>
        <c:crossAx val="-962515328"/>
        <c:crosses val="autoZero"/>
        <c:crossBetween val="midCat"/>
        <c:majorUnit val="1.0"/>
      </c:valAx>
      <c:valAx>
        <c:axId val="-962515328"/>
        <c:scaling>
          <c:orientation val="minMax"/>
          <c:min val="10.0"/>
        </c:scaling>
        <c:delete val="0"/>
        <c:axPos val="l"/>
        <c:majorGridlines/>
        <c:minorGridlines/>
        <c:title>
          <c:tx>
            <c:rich>
              <a:bodyPr rot="-5400000" vert="horz"/>
              <a:lstStyle/>
              <a:p>
                <a:pPr>
                  <a:defRPr/>
                </a:pPr>
                <a:r>
                  <a:rPr lang="en-US" altLang="ja-JP"/>
                  <a:t>BMI(kg/m^2)</a:t>
                </a:r>
                <a:endParaRPr lang="ja-JP" altLang="en-US"/>
              </a:p>
            </c:rich>
          </c:tx>
          <c:overlay val="0"/>
        </c:title>
        <c:numFmt formatCode="General" sourceLinked="1"/>
        <c:majorTickMark val="out"/>
        <c:minorTickMark val="none"/>
        <c:tickLblPos val="nextTo"/>
        <c:crossAx val="-962244480"/>
        <c:crosses val="autoZero"/>
        <c:crossBetween val="midCat"/>
        <c:majorUnit val="5.0"/>
      </c:valAx>
    </c:plotArea>
    <c:plotVisOnly val="1"/>
    <c:dispBlanksAs val="gap"/>
    <c:showDLblsOverMax val="0"/>
  </c:chart>
  <c:printSettings>
    <c:headerFooter/>
    <c:pageMargins b="0.750000000000007" l="0.700000000000001" r="0.700000000000001" t="0.750000000000007"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肥満曲線_データ!$M$2</c:f>
          <c:strCache>
            <c:ptCount val="1"/>
            <c:pt idx="0">
              <c:v>幼児用　肥満度判定曲線()　(身長70～120cm)</c:v>
            </c:pt>
          </c:strCache>
        </c:strRef>
      </c:tx>
      <c:layout>
        <c:manualLayout>
          <c:xMode val="edge"/>
          <c:yMode val="edge"/>
          <c:x val="0.161653125"/>
          <c:y val="0.0914688888888889"/>
        </c:manualLayout>
      </c:layout>
      <c:overlay val="0"/>
      <c:txPr>
        <a:bodyPr/>
        <a:lstStyle/>
        <a:p>
          <a:pPr>
            <a:defRPr sz="1600"/>
          </a:pPr>
          <a:endParaRPr lang="ja-JP"/>
        </a:p>
      </c:txPr>
    </c:title>
    <c:autoTitleDeleted val="0"/>
    <c:plotArea>
      <c:layout>
        <c:manualLayout>
          <c:layoutTarget val="inner"/>
          <c:xMode val="edge"/>
          <c:yMode val="edge"/>
          <c:x val="0.147979633176484"/>
          <c:y val="0.0690552224018355"/>
          <c:w val="0.779966666666667"/>
          <c:h val="0.824893292311973"/>
        </c:manualLayout>
      </c:layout>
      <c:areaChart>
        <c:grouping val="stacked"/>
        <c:varyColors val="0"/>
        <c:ser>
          <c:idx val="2"/>
          <c:order val="0"/>
          <c:tx>
            <c:strRef>
              <c:f>肥満曲線_データ!$D$2</c:f>
              <c:strCache>
                <c:ptCount val="1"/>
                <c:pt idx="0">
                  <c:v>-15％積み上げ</c:v>
                </c:pt>
              </c:strCache>
            </c:strRef>
          </c:tx>
          <c:spPr>
            <a:noFill/>
            <a:ln w="28575">
              <a:noFill/>
            </a:ln>
          </c:spPr>
          <c:cat>
            <c:numRef>
              <c:f>肥満曲線_データ!$A$3:$A$55</c:f>
              <c:numCache>
                <c:formatCode>General</c:formatCode>
                <c:ptCount val="53"/>
                <c:pt idx="0">
                  <c:v>69.0</c:v>
                </c:pt>
                <c:pt idx="1">
                  <c:v>70.0</c:v>
                </c:pt>
                <c:pt idx="2">
                  <c:v>71.0</c:v>
                </c:pt>
                <c:pt idx="3">
                  <c:v>72.0</c:v>
                </c:pt>
                <c:pt idx="4">
                  <c:v>73.0</c:v>
                </c:pt>
                <c:pt idx="5">
                  <c:v>74.0</c:v>
                </c:pt>
                <c:pt idx="6">
                  <c:v>75.0</c:v>
                </c:pt>
                <c:pt idx="7">
                  <c:v>76.0</c:v>
                </c:pt>
                <c:pt idx="8">
                  <c:v>77.0</c:v>
                </c:pt>
                <c:pt idx="9">
                  <c:v>78.0</c:v>
                </c:pt>
                <c:pt idx="10">
                  <c:v>79.0</c:v>
                </c:pt>
                <c:pt idx="11">
                  <c:v>80.0</c:v>
                </c:pt>
                <c:pt idx="12">
                  <c:v>81.0</c:v>
                </c:pt>
                <c:pt idx="13">
                  <c:v>82.0</c:v>
                </c:pt>
                <c:pt idx="14">
                  <c:v>83.0</c:v>
                </c:pt>
                <c:pt idx="15">
                  <c:v>84.0</c:v>
                </c:pt>
                <c:pt idx="16">
                  <c:v>85.0</c:v>
                </c:pt>
                <c:pt idx="17">
                  <c:v>86.0</c:v>
                </c:pt>
                <c:pt idx="18">
                  <c:v>87.0</c:v>
                </c:pt>
                <c:pt idx="19">
                  <c:v>88.0</c:v>
                </c:pt>
                <c:pt idx="20">
                  <c:v>89.0</c:v>
                </c:pt>
                <c:pt idx="21">
                  <c:v>90.0</c:v>
                </c:pt>
                <c:pt idx="22">
                  <c:v>91.0</c:v>
                </c:pt>
                <c:pt idx="23">
                  <c:v>92.0</c:v>
                </c:pt>
                <c:pt idx="24">
                  <c:v>93.0</c:v>
                </c:pt>
                <c:pt idx="25">
                  <c:v>94.0</c:v>
                </c:pt>
                <c:pt idx="26">
                  <c:v>95.0</c:v>
                </c:pt>
                <c:pt idx="27">
                  <c:v>96.0</c:v>
                </c:pt>
                <c:pt idx="28">
                  <c:v>97.0</c:v>
                </c:pt>
                <c:pt idx="29">
                  <c:v>98.0</c:v>
                </c:pt>
                <c:pt idx="30">
                  <c:v>99.0</c:v>
                </c:pt>
                <c:pt idx="31">
                  <c:v>100.0</c:v>
                </c:pt>
                <c:pt idx="32">
                  <c:v>101.0</c:v>
                </c:pt>
                <c:pt idx="33">
                  <c:v>102.0</c:v>
                </c:pt>
                <c:pt idx="34">
                  <c:v>103.0</c:v>
                </c:pt>
                <c:pt idx="35">
                  <c:v>104.0</c:v>
                </c:pt>
                <c:pt idx="36">
                  <c:v>105.0</c:v>
                </c:pt>
                <c:pt idx="37">
                  <c:v>106.0</c:v>
                </c:pt>
                <c:pt idx="38">
                  <c:v>107.0</c:v>
                </c:pt>
                <c:pt idx="39">
                  <c:v>108.0</c:v>
                </c:pt>
                <c:pt idx="40">
                  <c:v>109.0</c:v>
                </c:pt>
                <c:pt idx="41">
                  <c:v>110.0</c:v>
                </c:pt>
                <c:pt idx="42">
                  <c:v>111.0</c:v>
                </c:pt>
                <c:pt idx="43">
                  <c:v>112.0</c:v>
                </c:pt>
                <c:pt idx="44">
                  <c:v>113.0</c:v>
                </c:pt>
                <c:pt idx="45">
                  <c:v>114.0</c:v>
                </c:pt>
                <c:pt idx="46">
                  <c:v>115.0</c:v>
                </c:pt>
                <c:pt idx="47">
                  <c:v>116.0</c:v>
                </c:pt>
                <c:pt idx="48">
                  <c:v>117.0</c:v>
                </c:pt>
                <c:pt idx="49">
                  <c:v>118.0</c:v>
                </c:pt>
                <c:pt idx="50">
                  <c:v>119.0</c:v>
                </c:pt>
                <c:pt idx="51">
                  <c:v>120.0</c:v>
                </c:pt>
              </c:numCache>
            </c:numRef>
          </c:cat>
          <c:val>
            <c:numRef>
              <c:f>肥満曲線_データ!$D$3:$D$55</c:f>
              <c:numCache>
                <c:formatCode>General</c:formatCode>
                <c:ptCount val="53"/>
                <c:pt idx="0">
                  <c:v>6.860086500000002</c:v>
                </c:pt>
                <c:pt idx="1">
                  <c:v>6.996350000000001</c:v>
                </c:pt>
                <c:pt idx="2">
                  <c:v>7.136846500000002</c:v>
                </c:pt>
                <c:pt idx="3">
                  <c:v>7.281576000000002</c:v>
                </c:pt>
                <c:pt idx="4">
                  <c:v>7.430538500000002</c:v>
                </c:pt>
                <c:pt idx="5">
                  <c:v>7.583734000000002</c:v>
                </c:pt>
                <c:pt idx="6">
                  <c:v>7.741162500000003</c:v>
                </c:pt>
                <c:pt idx="7">
                  <c:v>7.902824000000002</c:v>
                </c:pt>
                <c:pt idx="8">
                  <c:v>8.068718500000003</c:v>
                </c:pt>
                <c:pt idx="9">
                  <c:v>8.238846000000001</c:v>
                </c:pt>
                <c:pt idx="10">
                  <c:v>8.413206500000002</c:v>
                </c:pt>
                <c:pt idx="11">
                  <c:v>8.591800000000003</c:v>
                </c:pt>
                <c:pt idx="12">
                  <c:v>8.774626500000003</c:v>
                </c:pt>
                <c:pt idx="13">
                  <c:v>8.961686000000003</c:v>
                </c:pt>
                <c:pt idx="14">
                  <c:v>9.152978500000003</c:v>
                </c:pt>
                <c:pt idx="15">
                  <c:v>9.348504000000003</c:v>
                </c:pt>
                <c:pt idx="16">
                  <c:v>9.548262500000003</c:v>
                </c:pt>
                <c:pt idx="17">
                  <c:v>9.752254000000002</c:v>
                </c:pt>
                <c:pt idx="18">
                  <c:v>9.960478500000004</c:v>
                </c:pt>
                <c:pt idx="19">
                  <c:v>10.172936</c:v>
                </c:pt>
                <c:pt idx="20">
                  <c:v>10.3896265</c:v>
                </c:pt>
                <c:pt idx="21">
                  <c:v>10.61055000000001</c:v>
                </c:pt>
                <c:pt idx="22">
                  <c:v>10.8357065</c:v>
                </c:pt>
                <c:pt idx="23">
                  <c:v>11.065096</c:v>
                </c:pt>
                <c:pt idx="24">
                  <c:v>11.2987185</c:v>
                </c:pt>
                <c:pt idx="25">
                  <c:v>11.53657400000001</c:v>
                </c:pt>
                <c:pt idx="26">
                  <c:v>11.7786625</c:v>
                </c:pt>
                <c:pt idx="27">
                  <c:v>12.024984</c:v>
                </c:pt>
                <c:pt idx="28">
                  <c:v>12.2755385</c:v>
                </c:pt>
                <c:pt idx="29">
                  <c:v>12.530326</c:v>
                </c:pt>
                <c:pt idx="30">
                  <c:v>12.78934650000001</c:v>
                </c:pt>
                <c:pt idx="31">
                  <c:v>13.05260000000001</c:v>
                </c:pt>
                <c:pt idx="32">
                  <c:v>13.3200865</c:v>
                </c:pt>
                <c:pt idx="33">
                  <c:v>13.591806</c:v>
                </c:pt>
                <c:pt idx="34">
                  <c:v>13.86775850000001</c:v>
                </c:pt>
                <c:pt idx="35">
                  <c:v>14.147944</c:v>
                </c:pt>
                <c:pt idx="36">
                  <c:v>14.43236250000001</c:v>
                </c:pt>
                <c:pt idx="37">
                  <c:v>14.721014</c:v>
                </c:pt>
                <c:pt idx="38">
                  <c:v>15.01389850000001</c:v>
                </c:pt>
                <c:pt idx="39">
                  <c:v>15.31101600000001</c:v>
                </c:pt>
                <c:pt idx="40">
                  <c:v>15.6123665</c:v>
                </c:pt>
                <c:pt idx="41">
                  <c:v>15.91795</c:v>
                </c:pt>
                <c:pt idx="42">
                  <c:v>16.2277665</c:v>
                </c:pt>
                <c:pt idx="43">
                  <c:v>16.541816</c:v>
                </c:pt>
                <c:pt idx="44">
                  <c:v>16.8600985</c:v>
                </c:pt>
                <c:pt idx="45">
                  <c:v>17.182614</c:v>
                </c:pt>
                <c:pt idx="46">
                  <c:v>17.50936250000001</c:v>
                </c:pt>
                <c:pt idx="47">
                  <c:v>17.84034400000001</c:v>
                </c:pt>
                <c:pt idx="48">
                  <c:v>18.17555850000001</c:v>
                </c:pt>
                <c:pt idx="49">
                  <c:v>18.51500600000001</c:v>
                </c:pt>
                <c:pt idx="50">
                  <c:v>18.8586865</c:v>
                </c:pt>
                <c:pt idx="51">
                  <c:v>19.20660000000001</c:v>
                </c:pt>
              </c:numCache>
            </c:numRef>
          </c:val>
        </c:ser>
        <c:ser>
          <c:idx val="3"/>
          <c:order val="1"/>
          <c:tx>
            <c:strRef>
              <c:f>肥満曲線_データ!$E$2</c:f>
              <c:strCache>
                <c:ptCount val="1"/>
                <c:pt idx="0">
                  <c:v>+15％積み上げ</c:v>
                </c:pt>
              </c:strCache>
            </c:strRef>
          </c:tx>
          <c:spPr>
            <a:solidFill>
              <a:srgbClr val="FFFF00">
                <a:alpha val="50196"/>
              </a:srgbClr>
            </a:solidFill>
            <a:ln w="28575">
              <a:noFill/>
            </a:ln>
          </c:spPr>
          <c:cat>
            <c:numRef>
              <c:f>肥満曲線_データ!$A$3:$A$55</c:f>
              <c:numCache>
                <c:formatCode>General</c:formatCode>
                <c:ptCount val="53"/>
                <c:pt idx="0">
                  <c:v>69.0</c:v>
                </c:pt>
                <c:pt idx="1">
                  <c:v>70.0</c:v>
                </c:pt>
                <c:pt idx="2">
                  <c:v>71.0</c:v>
                </c:pt>
                <c:pt idx="3">
                  <c:v>72.0</c:v>
                </c:pt>
                <c:pt idx="4">
                  <c:v>73.0</c:v>
                </c:pt>
                <c:pt idx="5">
                  <c:v>74.0</c:v>
                </c:pt>
                <c:pt idx="6">
                  <c:v>75.0</c:v>
                </c:pt>
                <c:pt idx="7">
                  <c:v>76.0</c:v>
                </c:pt>
                <c:pt idx="8">
                  <c:v>77.0</c:v>
                </c:pt>
                <c:pt idx="9">
                  <c:v>78.0</c:v>
                </c:pt>
                <c:pt idx="10">
                  <c:v>79.0</c:v>
                </c:pt>
                <c:pt idx="11">
                  <c:v>80.0</c:v>
                </c:pt>
                <c:pt idx="12">
                  <c:v>81.0</c:v>
                </c:pt>
                <c:pt idx="13">
                  <c:v>82.0</c:v>
                </c:pt>
                <c:pt idx="14">
                  <c:v>83.0</c:v>
                </c:pt>
                <c:pt idx="15">
                  <c:v>84.0</c:v>
                </c:pt>
                <c:pt idx="16">
                  <c:v>85.0</c:v>
                </c:pt>
                <c:pt idx="17">
                  <c:v>86.0</c:v>
                </c:pt>
                <c:pt idx="18">
                  <c:v>87.0</c:v>
                </c:pt>
                <c:pt idx="19">
                  <c:v>88.0</c:v>
                </c:pt>
                <c:pt idx="20">
                  <c:v>89.0</c:v>
                </c:pt>
                <c:pt idx="21">
                  <c:v>90.0</c:v>
                </c:pt>
                <c:pt idx="22">
                  <c:v>91.0</c:v>
                </c:pt>
                <c:pt idx="23">
                  <c:v>92.0</c:v>
                </c:pt>
                <c:pt idx="24">
                  <c:v>93.0</c:v>
                </c:pt>
                <c:pt idx="25">
                  <c:v>94.0</c:v>
                </c:pt>
                <c:pt idx="26">
                  <c:v>95.0</c:v>
                </c:pt>
                <c:pt idx="27">
                  <c:v>96.0</c:v>
                </c:pt>
                <c:pt idx="28">
                  <c:v>97.0</c:v>
                </c:pt>
                <c:pt idx="29">
                  <c:v>98.0</c:v>
                </c:pt>
                <c:pt idx="30">
                  <c:v>99.0</c:v>
                </c:pt>
                <c:pt idx="31">
                  <c:v>100.0</c:v>
                </c:pt>
                <c:pt idx="32">
                  <c:v>101.0</c:v>
                </c:pt>
                <c:pt idx="33">
                  <c:v>102.0</c:v>
                </c:pt>
                <c:pt idx="34">
                  <c:v>103.0</c:v>
                </c:pt>
                <c:pt idx="35">
                  <c:v>104.0</c:v>
                </c:pt>
                <c:pt idx="36">
                  <c:v>105.0</c:v>
                </c:pt>
                <c:pt idx="37">
                  <c:v>106.0</c:v>
                </c:pt>
                <c:pt idx="38">
                  <c:v>107.0</c:v>
                </c:pt>
                <c:pt idx="39">
                  <c:v>108.0</c:v>
                </c:pt>
                <c:pt idx="40">
                  <c:v>109.0</c:v>
                </c:pt>
                <c:pt idx="41">
                  <c:v>110.0</c:v>
                </c:pt>
                <c:pt idx="42">
                  <c:v>111.0</c:v>
                </c:pt>
                <c:pt idx="43">
                  <c:v>112.0</c:v>
                </c:pt>
                <c:pt idx="44">
                  <c:v>113.0</c:v>
                </c:pt>
                <c:pt idx="45">
                  <c:v>114.0</c:v>
                </c:pt>
                <c:pt idx="46">
                  <c:v>115.0</c:v>
                </c:pt>
                <c:pt idx="47">
                  <c:v>116.0</c:v>
                </c:pt>
                <c:pt idx="48">
                  <c:v>117.0</c:v>
                </c:pt>
                <c:pt idx="49">
                  <c:v>118.0</c:v>
                </c:pt>
                <c:pt idx="50">
                  <c:v>119.0</c:v>
                </c:pt>
                <c:pt idx="51">
                  <c:v>120.0</c:v>
                </c:pt>
              </c:numCache>
            </c:numRef>
          </c:cat>
          <c:val>
            <c:numRef>
              <c:f>肥満曲線_データ!$E$3:$E$55</c:f>
              <c:numCache>
                <c:formatCode>General</c:formatCode>
                <c:ptCount val="53"/>
                <c:pt idx="0">
                  <c:v>2.421207000000001</c:v>
                </c:pt>
                <c:pt idx="1">
                  <c:v>2.4693</c:v>
                </c:pt>
                <c:pt idx="2">
                  <c:v>2.518887000000001</c:v>
                </c:pt>
                <c:pt idx="3">
                  <c:v>2.569968000000001</c:v>
                </c:pt>
                <c:pt idx="4">
                  <c:v>2.622543000000001</c:v>
                </c:pt>
                <c:pt idx="5">
                  <c:v>2.676612000000001</c:v>
                </c:pt>
                <c:pt idx="6">
                  <c:v>2.732175000000001</c:v>
                </c:pt>
                <c:pt idx="7">
                  <c:v>2.789232000000001</c:v>
                </c:pt>
                <c:pt idx="8">
                  <c:v>2.847783000000001</c:v>
                </c:pt>
                <c:pt idx="9">
                  <c:v>2.907828</c:v>
                </c:pt>
                <c:pt idx="10">
                  <c:v>2.969367000000001</c:v>
                </c:pt>
                <c:pt idx="11">
                  <c:v>3.032400000000001</c:v>
                </c:pt>
                <c:pt idx="12">
                  <c:v>3.096927000000001</c:v>
                </c:pt>
                <c:pt idx="13">
                  <c:v>3.162948000000001</c:v>
                </c:pt>
                <c:pt idx="14">
                  <c:v>3.230463000000001</c:v>
                </c:pt>
                <c:pt idx="15">
                  <c:v>3.299472000000001</c:v>
                </c:pt>
                <c:pt idx="16">
                  <c:v>3.369975000000001</c:v>
                </c:pt>
                <c:pt idx="17">
                  <c:v>3.441972000000001</c:v>
                </c:pt>
                <c:pt idx="18">
                  <c:v>3.515463000000001</c:v>
                </c:pt>
                <c:pt idx="19">
                  <c:v>3.590448000000001</c:v>
                </c:pt>
                <c:pt idx="20">
                  <c:v>3.666927</c:v>
                </c:pt>
                <c:pt idx="21">
                  <c:v>3.744900000000002</c:v>
                </c:pt>
                <c:pt idx="22">
                  <c:v>3.824367000000001</c:v>
                </c:pt>
                <c:pt idx="23">
                  <c:v>3.905328000000001</c:v>
                </c:pt>
                <c:pt idx="24">
                  <c:v>3.987783000000001</c:v>
                </c:pt>
                <c:pt idx="25">
                  <c:v>4.071732000000001</c:v>
                </c:pt>
                <c:pt idx="26">
                  <c:v>4.157175</c:v>
                </c:pt>
                <c:pt idx="27">
                  <c:v>4.244112</c:v>
                </c:pt>
                <c:pt idx="28">
                  <c:v>4.332543</c:v>
                </c:pt>
                <c:pt idx="29">
                  <c:v>4.422468</c:v>
                </c:pt>
                <c:pt idx="30">
                  <c:v>4.513887000000002</c:v>
                </c:pt>
                <c:pt idx="31">
                  <c:v>4.606800000000001</c:v>
                </c:pt>
                <c:pt idx="32">
                  <c:v>4.701207000000001</c:v>
                </c:pt>
                <c:pt idx="33">
                  <c:v>4.797108000000001</c:v>
                </c:pt>
                <c:pt idx="34">
                  <c:v>4.894503000000002</c:v>
                </c:pt>
                <c:pt idx="35">
                  <c:v>4.993392</c:v>
                </c:pt>
                <c:pt idx="36">
                  <c:v>5.093775000000002</c:v>
                </c:pt>
                <c:pt idx="37">
                  <c:v>5.195652</c:v>
                </c:pt>
                <c:pt idx="38">
                  <c:v>5.299023000000001</c:v>
                </c:pt>
                <c:pt idx="39">
                  <c:v>5.403888000000002</c:v>
                </c:pt>
                <c:pt idx="40">
                  <c:v>5.510247</c:v>
                </c:pt>
                <c:pt idx="41">
                  <c:v>5.618100000000001</c:v>
                </c:pt>
                <c:pt idx="42">
                  <c:v>5.727447000000002</c:v>
                </c:pt>
                <c:pt idx="43">
                  <c:v>5.838288000000002</c:v>
                </c:pt>
                <c:pt idx="44">
                  <c:v>5.950623</c:v>
                </c:pt>
                <c:pt idx="45">
                  <c:v>6.064452</c:v>
                </c:pt>
                <c:pt idx="46">
                  <c:v>6.179775000000001</c:v>
                </c:pt>
                <c:pt idx="47">
                  <c:v>6.296592000000003</c:v>
                </c:pt>
                <c:pt idx="48">
                  <c:v>6.414903000000003</c:v>
                </c:pt>
                <c:pt idx="49">
                  <c:v>6.534708000000003</c:v>
                </c:pt>
                <c:pt idx="50">
                  <c:v>6.656007000000001</c:v>
                </c:pt>
                <c:pt idx="51">
                  <c:v>6.778800000000003</c:v>
                </c:pt>
              </c:numCache>
            </c:numRef>
          </c:val>
        </c:ser>
        <c:dLbls>
          <c:showLegendKey val="0"/>
          <c:showVal val="0"/>
          <c:showCatName val="0"/>
          <c:showSerName val="0"/>
          <c:showPercent val="0"/>
          <c:showBubbleSize val="0"/>
        </c:dLbls>
        <c:axId val="-934879648"/>
        <c:axId val="-962429728"/>
      </c:areaChart>
      <c:lineChart>
        <c:grouping val="standard"/>
        <c:varyColors val="0"/>
        <c:ser>
          <c:idx val="4"/>
          <c:order val="2"/>
          <c:tx>
            <c:strRef>
              <c:f>肥満曲線_データ!$F$2</c:f>
              <c:strCache>
                <c:ptCount val="1"/>
                <c:pt idx="0">
                  <c:v>-20%</c:v>
                </c:pt>
              </c:strCache>
            </c:strRef>
          </c:tx>
          <c:spPr>
            <a:ln w="19050">
              <a:solidFill>
                <a:srgbClr val="000000"/>
              </a:solidFill>
            </a:ln>
          </c:spPr>
          <c:marker>
            <c:symbol val="none"/>
          </c:marker>
          <c:dLbls>
            <c:dLbl>
              <c:idx val="50"/>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肥満曲線_データ!$A$3:$A$55</c:f>
              <c:numCache>
                <c:formatCode>General</c:formatCode>
                <c:ptCount val="53"/>
                <c:pt idx="0">
                  <c:v>69.0</c:v>
                </c:pt>
                <c:pt idx="1">
                  <c:v>70.0</c:v>
                </c:pt>
                <c:pt idx="2">
                  <c:v>71.0</c:v>
                </c:pt>
                <c:pt idx="3">
                  <c:v>72.0</c:v>
                </c:pt>
                <c:pt idx="4">
                  <c:v>73.0</c:v>
                </c:pt>
                <c:pt idx="5">
                  <c:v>74.0</c:v>
                </c:pt>
                <c:pt idx="6">
                  <c:v>75.0</c:v>
                </c:pt>
                <c:pt idx="7">
                  <c:v>76.0</c:v>
                </c:pt>
                <c:pt idx="8">
                  <c:v>77.0</c:v>
                </c:pt>
                <c:pt idx="9">
                  <c:v>78.0</c:v>
                </c:pt>
                <c:pt idx="10">
                  <c:v>79.0</c:v>
                </c:pt>
                <c:pt idx="11">
                  <c:v>80.0</c:v>
                </c:pt>
                <c:pt idx="12">
                  <c:v>81.0</c:v>
                </c:pt>
                <c:pt idx="13">
                  <c:v>82.0</c:v>
                </c:pt>
                <c:pt idx="14">
                  <c:v>83.0</c:v>
                </c:pt>
                <c:pt idx="15">
                  <c:v>84.0</c:v>
                </c:pt>
                <c:pt idx="16">
                  <c:v>85.0</c:v>
                </c:pt>
                <c:pt idx="17">
                  <c:v>86.0</c:v>
                </c:pt>
                <c:pt idx="18">
                  <c:v>87.0</c:v>
                </c:pt>
                <c:pt idx="19">
                  <c:v>88.0</c:v>
                </c:pt>
                <c:pt idx="20">
                  <c:v>89.0</c:v>
                </c:pt>
                <c:pt idx="21">
                  <c:v>90.0</c:v>
                </c:pt>
                <c:pt idx="22">
                  <c:v>91.0</c:v>
                </c:pt>
                <c:pt idx="23">
                  <c:v>92.0</c:v>
                </c:pt>
                <c:pt idx="24">
                  <c:v>93.0</c:v>
                </c:pt>
                <c:pt idx="25">
                  <c:v>94.0</c:v>
                </c:pt>
                <c:pt idx="26">
                  <c:v>95.0</c:v>
                </c:pt>
                <c:pt idx="27">
                  <c:v>96.0</c:v>
                </c:pt>
                <c:pt idx="28">
                  <c:v>97.0</c:v>
                </c:pt>
                <c:pt idx="29">
                  <c:v>98.0</c:v>
                </c:pt>
                <c:pt idx="30">
                  <c:v>99.0</c:v>
                </c:pt>
                <c:pt idx="31">
                  <c:v>100.0</c:v>
                </c:pt>
                <c:pt idx="32">
                  <c:v>101.0</c:v>
                </c:pt>
                <c:pt idx="33">
                  <c:v>102.0</c:v>
                </c:pt>
                <c:pt idx="34">
                  <c:v>103.0</c:v>
                </c:pt>
                <c:pt idx="35">
                  <c:v>104.0</c:v>
                </c:pt>
                <c:pt idx="36">
                  <c:v>105.0</c:v>
                </c:pt>
                <c:pt idx="37">
                  <c:v>106.0</c:v>
                </c:pt>
                <c:pt idx="38">
                  <c:v>107.0</c:v>
                </c:pt>
                <c:pt idx="39">
                  <c:v>108.0</c:v>
                </c:pt>
                <c:pt idx="40">
                  <c:v>109.0</c:v>
                </c:pt>
                <c:pt idx="41">
                  <c:v>110.0</c:v>
                </c:pt>
                <c:pt idx="42">
                  <c:v>111.0</c:v>
                </c:pt>
                <c:pt idx="43">
                  <c:v>112.0</c:v>
                </c:pt>
                <c:pt idx="44">
                  <c:v>113.0</c:v>
                </c:pt>
                <c:pt idx="45">
                  <c:v>114.0</c:v>
                </c:pt>
                <c:pt idx="46">
                  <c:v>115.0</c:v>
                </c:pt>
                <c:pt idx="47">
                  <c:v>116.0</c:v>
                </c:pt>
                <c:pt idx="48">
                  <c:v>117.0</c:v>
                </c:pt>
                <c:pt idx="49">
                  <c:v>118.0</c:v>
                </c:pt>
                <c:pt idx="50">
                  <c:v>119.0</c:v>
                </c:pt>
                <c:pt idx="51">
                  <c:v>120.0</c:v>
                </c:pt>
              </c:numCache>
            </c:numRef>
          </c:cat>
          <c:val>
            <c:numRef>
              <c:f>肥満曲線_データ!$F$3:$F$55</c:f>
              <c:numCache>
                <c:formatCode>General</c:formatCode>
                <c:ptCount val="53"/>
                <c:pt idx="0">
                  <c:v>6.456552000000002</c:v>
                </c:pt>
                <c:pt idx="1">
                  <c:v>6.584800000000001</c:v>
                </c:pt>
                <c:pt idx="2">
                  <c:v>6.717032000000002</c:v>
                </c:pt>
                <c:pt idx="3">
                  <c:v>6.853248000000002</c:v>
                </c:pt>
                <c:pt idx="4">
                  <c:v>6.993448000000002</c:v>
                </c:pt>
                <c:pt idx="5">
                  <c:v>7.137632000000003</c:v>
                </c:pt>
                <c:pt idx="6">
                  <c:v>7.285800000000004</c:v>
                </c:pt>
                <c:pt idx="7">
                  <c:v>7.437952000000003</c:v>
                </c:pt>
                <c:pt idx="8">
                  <c:v>7.594088000000003</c:v>
                </c:pt>
                <c:pt idx="9">
                  <c:v>7.754208000000002</c:v>
                </c:pt>
                <c:pt idx="10">
                  <c:v>7.918312000000004</c:v>
                </c:pt>
                <c:pt idx="11">
                  <c:v>8.086400000000002</c:v>
                </c:pt>
                <c:pt idx="12">
                  <c:v>8.258472000000003</c:v>
                </c:pt>
                <c:pt idx="13">
                  <c:v>8.434528000000004</c:v>
                </c:pt>
                <c:pt idx="14">
                  <c:v>8.614568000000004</c:v>
                </c:pt>
                <c:pt idx="15">
                  <c:v>8.798592000000005</c:v>
                </c:pt>
                <c:pt idx="16">
                  <c:v>8.986600000000002</c:v>
                </c:pt>
                <c:pt idx="17">
                  <c:v>9.178592000000001</c:v>
                </c:pt>
                <c:pt idx="18">
                  <c:v>9.374568000000003</c:v>
                </c:pt>
                <c:pt idx="19">
                  <c:v>9.574528000000003</c:v>
                </c:pt>
                <c:pt idx="20">
                  <c:v>9.778472000000001</c:v>
                </c:pt>
                <c:pt idx="21">
                  <c:v>9.986400000000005</c:v>
                </c:pt>
                <c:pt idx="22">
                  <c:v>10.198312</c:v>
                </c:pt>
                <c:pt idx="23">
                  <c:v>10.414208</c:v>
                </c:pt>
                <c:pt idx="24">
                  <c:v>10.63408800000001</c:v>
                </c:pt>
                <c:pt idx="25">
                  <c:v>10.857952</c:v>
                </c:pt>
                <c:pt idx="26">
                  <c:v>11.0858</c:v>
                </c:pt>
                <c:pt idx="27">
                  <c:v>11.317632</c:v>
                </c:pt>
                <c:pt idx="28">
                  <c:v>11.553448</c:v>
                </c:pt>
                <c:pt idx="29">
                  <c:v>11.793248</c:v>
                </c:pt>
                <c:pt idx="30">
                  <c:v>12.03703200000001</c:v>
                </c:pt>
                <c:pt idx="31">
                  <c:v>12.28480000000001</c:v>
                </c:pt>
                <c:pt idx="32">
                  <c:v>12.53655200000001</c:v>
                </c:pt>
                <c:pt idx="33">
                  <c:v>12.792288</c:v>
                </c:pt>
                <c:pt idx="34">
                  <c:v>13.05200800000001</c:v>
                </c:pt>
                <c:pt idx="35">
                  <c:v>13.315712</c:v>
                </c:pt>
                <c:pt idx="36">
                  <c:v>13.58340000000001</c:v>
                </c:pt>
                <c:pt idx="37">
                  <c:v>13.855072</c:v>
                </c:pt>
                <c:pt idx="38">
                  <c:v>14.130728</c:v>
                </c:pt>
                <c:pt idx="39">
                  <c:v>14.41036800000001</c:v>
                </c:pt>
                <c:pt idx="40">
                  <c:v>14.693992</c:v>
                </c:pt>
                <c:pt idx="41">
                  <c:v>14.9816</c:v>
                </c:pt>
                <c:pt idx="42">
                  <c:v>15.27319200000001</c:v>
                </c:pt>
                <c:pt idx="43">
                  <c:v>15.56876800000001</c:v>
                </c:pt>
                <c:pt idx="44">
                  <c:v>15.868328</c:v>
                </c:pt>
                <c:pt idx="45">
                  <c:v>16.171872</c:v>
                </c:pt>
                <c:pt idx="46">
                  <c:v>16.47940000000001</c:v>
                </c:pt>
                <c:pt idx="47">
                  <c:v>16.79091200000001</c:v>
                </c:pt>
                <c:pt idx="48">
                  <c:v>17.10640800000001</c:v>
                </c:pt>
                <c:pt idx="49">
                  <c:v>17.42588800000001</c:v>
                </c:pt>
                <c:pt idx="50">
                  <c:v>17.74935200000001</c:v>
                </c:pt>
                <c:pt idx="51">
                  <c:v>18.07680000000001</c:v>
                </c:pt>
              </c:numCache>
            </c:numRef>
          </c:val>
          <c:smooth val="0"/>
        </c:ser>
        <c:ser>
          <c:idx val="5"/>
          <c:order val="3"/>
          <c:tx>
            <c:strRef>
              <c:f>肥満曲線_データ!$G$2</c:f>
              <c:strCache>
                <c:ptCount val="1"/>
                <c:pt idx="0">
                  <c:v>-15％</c:v>
                </c:pt>
              </c:strCache>
            </c:strRef>
          </c:tx>
          <c:spPr>
            <a:ln w="19050">
              <a:solidFill>
                <a:srgbClr val="000000"/>
              </a:solidFill>
            </a:ln>
          </c:spPr>
          <c:marker>
            <c:symbol val="none"/>
          </c:marker>
          <c:dLbls>
            <c:dLbl>
              <c:idx val="50"/>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肥満曲線_データ!$A$3:$A$55</c:f>
              <c:numCache>
                <c:formatCode>General</c:formatCode>
                <c:ptCount val="53"/>
                <c:pt idx="0">
                  <c:v>69.0</c:v>
                </c:pt>
                <c:pt idx="1">
                  <c:v>70.0</c:v>
                </c:pt>
                <c:pt idx="2">
                  <c:v>71.0</c:v>
                </c:pt>
                <c:pt idx="3">
                  <c:v>72.0</c:v>
                </c:pt>
                <c:pt idx="4">
                  <c:v>73.0</c:v>
                </c:pt>
                <c:pt idx="5">
                  <c:v>74.0</c:v>
                </c:pt>
                <c:pt idx="6">
                  <c:v>75.0</c:v>
                </c:pt>
                <c:pt idx="7">
                  <c:v>76.0</c:v>
                </c:pt>
                <c:pt idx="8">
                  <c:v>77.0</c:v>
                </c:pt>
                <c:pt idx="9">
                  <c:v>78.0</c:v>
                </c:pt>
                <c:pt idx="10">
                  <c:v>79.0</c:v>
                </c:pt>
                <c:pt idx="11">
                  <c:v>80.0</c:v>
                </c:pt>
                <c:pt idx="12">
                  <c:v>81.0</c:v>
                </c:pt>
                <c:pt idx="13">
                  <c:v>82.0</c:v>
                </c:pt>
                <c:pt idx="14">
                  <c:v>83.0</c:v>
                </c:pt>
                <c:pt idx="15">
                  <c:v>84.0</c:v>
                </c:pt>
                <c:pt idx="16">
                  <c:v>85.0</c:v>
                </c:pt>
                <c:pt idx="17">
                  <c:v>86.0</c:v>
                </c:pt>
                <c:pt idx="18">
                  <c:v>87.0</c:v>
                </c:pt>
                <c:pt idx="19">
                  <c:v>88.0</c:v>
                </c:pt>
                <c:pt idx="20">
                  <c:v>89.0</c:v>
                </c:pt>
                <c:pt idx="21">
                  <c:v>90.0</c:v>
                </c:pt>
                <c:pt idx="22">
                  <c:v>91.0</c:v>
                </c:pt>
                <c:pt idx="23">
                  <c:v>92.0</c:v>
                </c:pt>
                <c:pt idx="24">
                  <c:v>93.0</c:v>
                </c:pt>
                <c:pt idx="25">
                  <c:v>94.0</c:v>
                </c:pt>
                <c:pt idx="26">
                  <c:v>95.0</c:v>
                </c:pt>
                <c:pt idx="27">
                  <c:v>96.0</c:v>
                </c:pt>
                <c:pt idx="28">
                  <c:v>97.0</c:v>
                </c:pt>
                <c:pt idx="29">
                  <c:v>98.0</c:v>
                </c:pt>
                <c:pt idx="30">
                  <c:v>99.0</c:v>
                </c:pt>
                <c:pt idx="31">
                  <c:v>100.0</c:v>
                </c:pt>
                <c:pt idx="32">
                  <c:v>101.0</c:v>
                </c:pt>
                <c:pt idx="33">
                  <c:v>102.0</c:v>
                </c:pt>
                <c:pt idx="34">
                  <c:v>103.0</c:v>
                </c:pt>
                <c:pt idx="35">
                  <c:v>104.0</c:v>
                </c:pt>
                <c:pt idx="36">
                  <c:v>105.0</c:v>
                </c:pt>
                <c:pt idx="37">
                  <c:v>106.0</c:v>
                </c:pt>
                <c:pt idx="38">
                  <c:v>107.0</c:v>
                </c:pt>
                <c:pt idx="39">
                  <c:v>108.0</c:v>
                </c:pt>
                <c:pt idx="40">
                  <c:v>109.0</c:v>
                </c:pt>
                <c:pt idx="41">
                  <c:v>110.0</c:v>
                </c:pt>
                <c:pt idx="42">
                  <c:v>111.0</c:v>
                </c:pt>
                <c:pt idx="43">
                  <c:v>112.0</c:v>
                </c:pt>
                <c:pt idx="44">
                  <c:v>113.0</c:v>
                </c:pt>
                <c:pt idx="45">
                  <c:v>114.0</c:v>
                </c:pt>
                <c:pt idx="46">
                  <c:v>115.0</c:v>
                </c:pt>
                <c:pt idx="47">
                  <c:v>116.0</c:v>
                </c:pt>
                <c:pt idx="48">
                  <c:v>117.0</c:v>
                </c:pt>
                <c:pt idx="49">
                  <c:v>118.0</c:v>
                </c:pt>
                <c:pt idx="50">
                  <c:v>119.0</c:v>
                </c:pt>
                <c:pt idx="51">
                  <c:v>120.0</c:v>
                </c:pt>
              </c:numCache>
            </c:numRef>
          </c:cat>
          <c:val>
            <c:numRef>
              <c:f>肥満曲線_データ!$G$3:$G$55</c:f>
              <c:numCache>
                <c:formatCode>General</c:formatCode>
                <c:ptCount val="53"/>
                <c:pt idx="0">
                  <c:v>6.860086500000002</c:v>
                </c:pt>
                <c:pt idx="1">
                  <c:v>6.996350000000001</c:v>
                </c:pt>
                <c:pt idx="2">
                  <c:v>7.136846500000002</c:v>
                </c:pt>
                <c:pt idx="3">
                  <c:v>7.281576000000002</c:v>
                </c:pt>
                <c:pt idx="4">
                  <c:v>7.430538500000002</c:v>
                </c:pt>
                <c:pt idx="5">
                  <c:v>7.583734000000002</c:v>
                </c:pt>
                <c:pt idx="6">
                  <c:v>7.741162500000003</c:v>
                </c:pt>
                <c:pt idx="7">
                  <c:v>7.902824000000002</c:v>
                </c:pt>
                <c:pt idx="8">
                  <c:v>8.068718500000003</c:v>
                </c:pt>
                <c:pt idx="9">
                  <c:v>8.238846000000001</c:v>
                </c:pt>
                <c:pt idx="10">
                  <c:v>8.413206500000002</c:v>
                </c:pt>
                <c:pt idx="11">
                  <c:v>8.591800000000003</c:v>
                </c:pt>
                <c:pt idx="12">
                  <c:v>8.774626500000003</c:v>
                </c:pt>
                <c:pt idx="13">
                  <c:v>8.961686000000003</c:v>
                </c:pt>
                <c:pt idx="14">
                  <c:v>9.152978500000003</c:v>
                </c:pt>
                <c:pt idx="15">
                  <c:v>9.348504000000003</c:v>
                </c:pt>
                <c:pt idx="16">
                  <c:v>9.548262500000003</c:v>
                </c:pt>
                <c:pt idx="17">
                  <c:v>9.752254000000002</c:v>
                </c:pt>
                <c:pt idx="18">
                  <c:v>9.960478500000004</c:v>
                </c:pt>
                <c:pt idx="19">
                  <c:v>10.172936</c:v>
                </c:pt>
                <c:pt idx="20">
                  <c:v>10.3896265</c:v>
                </c:pt>
                <c:pt idx="21">
                  <c:v>10.61055000000001</c:v>
                </c:pt>
                <c:pt idx="22">
                  <c:v>10.8357065</c:v>
                </c:pt>
                <c:pt idx="23">
                  <c:v>11.065096</c:v>
                </c:pt>
                <c:pt idx="24">
                  <c:v>11.2987185</c:v>
                </c:pt>
                <c:pt idx="25">
                  <c:v>11.53657400000001</c:v>
                </c:pt>
                <c:pt idx="26">
                  <c:v>11.7786625</c:v>
                </c:pt>
                <c:pt idx="27">
                  <c:v>12.024984</c:v>
                </c:pt>
                <c:pt idx="28">
                  <c:v>12.2755385</c:v>
                </c:pt>
                <c:pt idx="29">
                  <c:v>12.530326</c:v>
                </c:pt>
                <c:pt idx="30">
                  <c:v>12.78934650000001</c:v>
                </c:pt>
                <c:pt idx="31">
                  <c:v>13.05260000000001</c:v>
                </c:pt>
                <c:pt idx="32">
                  <c:v>13.3200865</c:v>
                </c:pt>
                <c:pt idx="33">
                  <c:v>13.591806</c:v>
                </c:pt>
                <c:pt idx="34">
                  <c:v>13.86775850000001</c:v>
                </c:pt>
                <c:pt idx="35">
                  <c:v>14.147944</c:v>
                </c:pt>
                <c:pt idx="36">
                  <c:v>14.43236250000001</c:v>
                </c:pt>
                <c:pt idx="37">
                  <c:v>14.721014</c:v>
                </c:pt>
                <c:pt idx="38">
                  <c:v>15.01389850000001</c:v>
                </c:pt>
                <c:pt idx="39">
                  <c:v>15.31101600000001</c:v>
                </c:pt>
                <c:pt idx="40">
                  <c:v>15.6123665</c:v>
                </c:pt>
                <c:pt idx="41">
                  <c:v>15.91795</c:v>
                </c:pt>
                <c:pt idx="42">
                  <c:v>16.2277665</c:v>
                </c:pt>
                <c:pt idx="43">
                  <c:v>16.541816</c:v>
                </c:pt>
                <c:pt idx="44">
                  <c:v>16.8600985</c:v>
                </c:pt>
                <c:pt idx="45">
                  <c:v>17.182614</c:v>
                </c:pt>
                <c:pt idx="46">
                  <c:v>17.50936250000001</c:v>
                </c:pt>
                <c:pt idx="47">
                  <c:v>17.84034400000001</c:v>
                </c:pt>
                <c:pt idx="48">
                  <c:v>18.17555850000001</c:v>
                </c:pt>
                <c:pt idx="49">
                  <c:v>18.51500600000001</c:v>
                </c:pt>
                <c:pt idx="50">
                  <c:v>18.8586865</c:v>
                </c:pt>
                <c:pt idx="51">
                  <c:v>19.20660000000001</c:v>
                </c:pt>
              </c:numCache>
            </c:numRef>
          </c:val>
          <c:smooth val="0"/>
        </c:ser>
        <c:ser>
          <c:idx val="6"/>
          <c:order val="4"/>
          <c:tx>
            <c:strRef>
              <c:f>肥満曲線_データ!$H$2</c:f>
              <c:strCache>
                <c:ptCount val="1"/>
                <c:pt idx="0">
                  <c:v>0％</c:v>
                </c:pt>
              </c:strCache>
            </c:strRef>
          </c:tx>
          <c:spPr>
            <a:ln w="28575">
              <a:solidFill>
                <a:srgbClr val="000000"/>
              </a:solidFill>
            </a:ln>
          </c:spPr>
          <c:marker>
            <c:symbol val="none"/>
          </c:marker>
          <c:dLbls>
            <c:dLbl>
              <c:idx val="50"/>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肥満曲線_データ!$A$3:$A$55</c:f>
              <c:numCache>
                <c:formatCode>General</c:formatCode>
                <c:ptCount val="53"/>
                <c:pt idx="0">
                  <c:v>69.0</c:v>
                </c:pt>
                <c:pt idx="1">
                  <c:v>70.0</c:v>
                </c:pt>
                <c:pt idx="2">
                  <c:v>71.0</c:v>
                </c:pt>
                <c:pt idx="3">
                  <c:v>72.0</c:v>
                </c:pt>
                <c:pt idx="4">
                  <c:v>73.0</c:v>
                </c:pt>
                <c:pt idx="5">
                  <c:v>74.0</c:v>
                </c:pt>
                <c:pt idx="6">
                  <c:v>75.0</c:v>
                </c:pt>
                <c:pt idx="7">
                  <c:v>76.0</c:v>
                </c:pt>
                <c:pt idx="8">
                  <c:v>77.0</c:v>
                </c:pt>
                <c:pt idx="9">
                  <c:v>78.0</c:v>
                </c:pt>
                <c:pt idx="10">
                  <c:v>79.0</c:v>
                </c:pt>
                <c:pt idx="11">
                  <c:v>80.0</c:v>
                </c:pt>
                <c:pt idx="12">
                  <c:v>81.0</c:v>
                </c:pt>
                <c:pt idx="13">
                  <c:v>82.0</c:v>
                </c:pt>
                <c:pt idx="14">
                  <c:v>83.0</c:v>
                </c:pt>
                <c:pt idx="15">
                  <c:v>84.0</c:v>
                </c:pt>
                <c:pt idx="16">
                  <c:v>85.0</c:v>
                </c:pt>
                <c:pt idx="17">
                  <c:v>86.0</c:v>
                </c:pt>
                <c:pt idx="18">
                  <c:v>87.0</c:v>
                </c:pt>
                <c:pt idx="19">
                  <c:v>88.0</c:v>
                </c:pt>
                <c:pt idx="20">
                  <c:v>89.0</c:v>
                </c:pt>
                <c:pt idx="21">
                  <c:v>90.0</c:v>
                </c:pt>
                <c:pt idx="22">
                  <c:v>91.0</c:v>
                </c:pt>
                <c:pt idx="23">
                  <c:v>92.0</c:v>
                </c:pt>
                <c:pt idx="24">
                  <c:v>93.0</c:v>
                </c:pt>
                <c:pt idx="25">
                  <c:v>94.0</c:v>
                </c:pt>
                <c:pt idx="26">
                  <c:v>95.0</c:v>
                </c:pt>
                <c:pt idx="27">
                  <c:v>96.0</c:v>
                </c:pt>
                <c:pt idx="28">
                  <c:v>97.0</c:v>
                </c:pt>
                <c:pt idx="29">
                  <c:v>98.0</c:v>
                </c:pt>
                <c:pt idx="30">
                  <c:v>99.0</c:v>
                </c:pt>
                <c:pt idx="31">
                  <c:v>100.0</c:v>
                </c:pt>
                <c:pt idx="32">
                  <c:v>101.0</c:v>
                </c:pt>
                <c:pt idx="33">
                  <c:v>102.0</c:v>
                </c:pt>
                <c:pt idx="34">
                  <c:v>103.0</c:v>
                </c:pt>
                <c:pt idx="35">
                  <c:v>104.0</c:v>
                </c:pt>
                <c:pt idx="36">
                  <c:v>105.0</c:v>
                </c:pt>
                <c:pt idx="37">
                  <c:v>106.0</c:v>
                </c:pt>
                <c:pt idx="38">
                  <c:v>107.0</c:v>
                </c:pt>
                <c:pt idx="39">
                  <c:v>108.0</c:v>
                </c:pt>
                <c:pt idx="40">
                  <c:v>109.0</c:v>
                </c:pt>
                <c:pt idx="41">
                  <c:v>110.0</c:v>
                </c:pt>
                <c:pt idx="42">
                  <c:v>111.0</c:v>
                </c:pt>
                <c:pt idx="43">
                  <c:v>112.0</c:v>
                </c:pt>
                <c:pt idx="44">
                  <c:v>113.0</c:v>
                </c:pt>
                <c:pt idx="45">
                  <c:v>114.0</c:v>
                </c:pt>
                <c:pt idx="46">
                  <c:v>115.0</c:v>
                </c:pt>
                <c:pt idx="47">
                  <c:v>116.0</c:v>
                </c:pt>
                <c:pt idx="48">
                  <c:v>117.0</c:v>
                </c:pt>
                <c:pt idx="49">
                  <c:v>118.0</c:v>
                </c:pt>
                <c:pt idx="50">
                  <c:v>119.0</c:v>
                </c:pt>
                <c:pt idx="51">
                  <c:v>120.0</c:v>
                </c:pt>
              </c:numCache>
            </c:numRef>
          </c:cat>
          <c:val>
            <c:numRef>
              <c:f>肥満曲線_データ!$H$3:$H$55</c:f>
              <c:numCache>
                <c:formatCode>General</c:formatCode>
                <c:ptCount val="53"/>
                <c:pt idx="0">
                  <c:v>8.070690000000002</c:v>
                </c:pt>
                <c:pt idx="1">
                  <c:v>8.231000000000002</c:v>
                </c:pt>
                <c:pt idx="2">
                  <c:v>8.396290000000002</c:v>
                </c:pt>
                <c:pt idx="3">
                  <c:v>8.566560000000002</c:v>
                </c:pt>
                <c:pt idx="4">
                  <c:v>8.741810000000003</c:v>
                </c:pt>
                <c:pt idx="5">
                  <c:v>8.922040000000002</c:v>
                </c:pt>
                <c:pt idx="6">
                  <c:v>9.107250000000004</c:v>
                </c:pt>
                <c:pt idx="7">
                  <c:v>9.297440000000003</c:v>
                </c:pt>
                <c:pt idx="8">
                  <c:v>9.492610000000002</c:v>
                </c:pt>
                <c:pt idx="9">
                  <c:v>9.692760000000001</c:v>
                </c:pt>
                <c:pt idx="10">
                  <c:v>9.897890000000003</c:v>
                </c:pt>
                <c:pt idx="11">
                  <c:v>10.108</c:v>
                </c:pt>
                <c:pt idx="12">
                  <c:v>10.32309</c:v>
                </c:pt>
                <c:pt idx="13">
                  <c:v>10.54316</c:v>
                </c:pt>
                <c:pt idx="14">
                  <c:v>10.76821</c:v>
                </c:pt>
                <c:pt idx="15">
                  <c:v>10.99824</c:v>
                </c:pt>
                <c:pt idx="16">
                  <c:v>11.23325</c:v>
                </c:pt>
                <c:pt idx="17">
                  <c:v>11.47324</c:v>
                </c:pt>
                <c:pt idx="18">
                  <c:v>11.71821</c:v>
                </c:pt>
                <c:pt idx="19">
                  <c:v>11.96816</c:v>
                </c:pt>
                <c:pt idx="20">
                  <c:v>12.22309</c:v>
                </c:pt>
                <c:pt idx="21">
                  <c:v>12.48300000000001</c:v>
                </c:pt>
                <c:pt idx="22">
                  <c:v>12.74789</c:v>
                </c:pt>
                <c:pt idx="23">
                  <c:v>13.01776</c:v>
                </c:pt>
                <c:pt idx="24">
                  <c:v>13.29261000000001</c:v>
                </c:pt>
                <c:pt idx="25">
                  <c:v>13.57244000000001</c:v>
                </c:pt>
                <c:pt idx="26">
                  <c:v>13.85725</c:v>
                </c:pt>
                <c:pt idx="27">
                  <c:v>14.14704</c:v>
                </c:pt>
                <c:pt idx="28">
                  <c:v>14.44181</c:v>
                </c:pt>
                <c:pt idx="29">
                  <c:v>14.74156</c:v>
                </c:pt>
                <c:pt idx="30">
                  <c:v>15.04629000000001</c:v>
                </c:pt>
                <c:pt idx="31">
                  <c:v>15.35600000000001</c:v>
                </c:pt>
                <c:pt idx="32">
                  <c:v>15.67069000000001</c:v>
                </c:pt>
                <c:pt idx="33">
                  <c:v>15.99036</c:v>
                </c:pt>
                <c:pt idx="34">
                  <c:v>16.31501000000001</c:v>
                </c:pt>
                <c:pt idx="35">
                  <c:v>16.64464</c:v>
                </c:pt>
                <c:pt idx="36">
                  <c:v>16.97925000000001</c:v>
                </c:pt>
                <c:pt idx="37">
                  <c:v>17.31884</c:v>
                </c:pt>
                <c:pt idx="38">
                  <c:v>17.66341000000001</c:v>
                </c:pt>
                <c:pt idx="39">
                  <c:v>18.01296000000001</c:v>
                </c:pt>
                <c:pt idx="40">
                  <c:v>18.36749</c:v>
                </c:pt>
                <c:pt idx="41">
                  <c:v>18.727</c:v>
                </c:pt>
                <c:pt idx="42">
                  <c:v>19.09149000000001</c:v>
                </c:pt>
                <c:pt idx="43">
                  <c:v>19.46096000000001</c:v>
                </c:pt>
                <c:pt idx="44">
                  <c:v>19.83541</c:v>
                </c:pt>
                <c:pt idx="45">
                  <c:v>20.21484</c:v>
                </c:pt>
                <c:pt idx="46">
                  <c:v>20.59925</c:v>
                </c:pt>
                <c:pt idx="47">
                  <c:v>20.98864000000001</c:v>
                </c:pt>
                <c:pt idx="48">
                  <c:v>21.38301000000001</c:v>
                </c:pt>
                <c:pt idx="49">
                  <c:v>21.78236000000001</c:v>
                </c:pt>
                <c:pt idx="50">
                  <c:v>22.18669000000001</c:v>
                </c:pt>
                <c:pt idx="51">
                  <c:v>22.59600000000001</c:v>
                </c:pt>
              </c:numCache>
            </c:numRef>
          </c:val>
          <c:smooth val="0"/>
        </c:ser>
        <c:ser>
          <c:idx val="7"/>
          <c:order val="5"/>
          <c:tx>
            <c:strRef>
              <c:f>肥満曲線_データ!$I$2</c:f>
              <c:strCache>
                <c:ptCount val="1"/>
                <c:pt idx="0">
                  <c:v>+15％</c:v>
                </c:pt>
              </c:strCache>
            </c:strRef>
          </c:tx>
          <c:spPr>
            <a:ln w="19050">
              <a:solidFill>
                <a:schemeClr val="tx1"/>
              </a:solidFill>
            </a:ln>
          </c:spPr>
          <c:marker>
            <c:symbol val="none"/>
          </c:marker>
          <c:dLbls>
            <c:dLbl>
              <c:idx val="50"/>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肥満曲線_データ!$A$3:$A$55</c:f>
              <c:numCache>
                <c:formatCode>General</c:formatCode>
                <c:ptCount val="53"/>
                <c:pt idx="0">
                  <c:v>69.0</c:v>
                </c:pt>
                <c:pt idx="1">
                  <c:v>70.0</c:v>
                </c:pt>
                <c:pt idx="2">
                  <c:v>71.0</c:v>
                </c:pt>
                <c:pt idx="3">
                  <c:v>72.0</c:v>
                </c:pt>
                <c:pt idx="4">
                  <c:v>73.0</c:v>
                </c:pt>
                <c:pt idx="5">
                  <c:v>74.0</c:v>
                </c:pt>
                <c:pt idx="6">
                  <c:v>75.0</c:v>
                </c:pt>
                <c:pt idx="7">
                  <c:v>76.0</c:v>
                </c:pt>
                <c:pt idx="8">
                  <c:v>77.0</c:v>
                </c:pt>
                <c:pt idx="9">
                  <c:v>78.0</c:v>
                </c:pt>
                <c:pt idx="10">
                  <c:v>79.0</c:v>
                </c:pt>
                <c:pt idx="11">
                  <c:v>80.0</c:v>
                </c:pt>
                <c:pt idx="12">
                  <c:v>81.0</c:v>
                </c:pt>
                <c:pt idx="13">
                  <c:v>82.0</c:v>
                </c:pt>
                <c:pt idx="14">
                  <c:v>83.0</c:v>
                </c:pt>
                <c:pt idx="15">
                  <c:v>84.0</c:v>
                </c:pt>
                <c:pt idx="16">
                  <c:v>85.0</c:v>
                </c:pt>
                <c:pt idx="17">
                  <c:v>86.0</c:v>
                </c:pt>
                <c:pt idx="18">
                  <c:v>87.0</c:v>
                </c:pt>
                <c:pt idx="19">
                  <c:v>88.0</c:v>
                </c:pt>
                <c:pt idx="20">
                  <c:v>89.0</c:v>
                </c:pt>
                <c:pt idx="21">
                  <c:v>90.0</c:v>
                </c:pt>
                <c:pt idx="22">
                  <c:v>91.0</c:v>
                </c:pt>
                <c:pt idx="23">
                  <c:v>92.0</c:v>
                </c:pt>
                <c:pt idx="24">
                  <c:v>93.0</c:v>
                </c:pt>
                <c:pt idx="25">
                  <c:v>94.0</c:v>
                </c:pt>
                <c:pt idx="26">
                  <c:v>95.0</c:v>
                </c:pt>
                <c:pt idx="27">
                  <c:v>96.0</c:v>
                </c:pt>
                <c:pt idx="28">
                  <c:v>97.0</c:v>
                </c:pt>
                <c:pt idx="29">
                  <c:v>98.0</c:v>
                </c:pt>
                <c:pt idx="30">
                  <c:v>99.0</c:v>
                </c:pt>
                <c:pt idx="31">
                  <c:v>100.0</c:v>
                </c:pt>
                <c:pt idx="32">
                  <c:v>101.0</c:v>
                </c:pt>
                <c:pt idx="33">
                  <c:v>102.0</c:v>
                </c:pt>
                <c:pt idx="34">
                  <c:v>103.0</c:v>
                </c:pt>
                <c:pt idx="35">
                  <c:v>104.0</c:v>
                </c:pt>
                <c:pt idx="36">
                  <c:v>105.0</c:v>
                </c:pt>
                <c:pt idx="37">
                  <c:v>106.0</c:v>
                </c:pt>
                <c:pt idx="38">
                  <c:v>107.0</c:v>
                </c:pt>
                <c:pt idx="39">
                  <c:v>108.0</c:v>
                </c:pt>
                <c:pt idx="40">
                  <c:v>109.0</c:v>
                </c:pt>
                <c:pt idx="41">
                  <c:v>110.0</c:v>
                </c:pt>
                <c:pt idx="42">
                  <c:v>111.0</c:v>
                </c:pt>
                <c:pt idx="43">
                  <c:v>112.0</c:v>
                </c:pt>
                <c:pt idx="44">
                  <c:v>113.0</c:v>
                </c:pt>
                <c:pt idx="45">
                  <c:v>114.0</c:v>
                </c:pt>
                <c:pt idx="46">
                  <c:v>115.0</c:v>
                </c:pt>
                <c:pt idx="47">
                  <c:v>116.0</c:v>
                </c:pt>
                <c:pt idx="48">
                  <c:v>117.0</c:v>
                </c:pt>
                <c:pt idx="49">
                  <c:v>118.0</c:v>
                </c:pt>
                <c:pt idx="50">
                  <c:v>119.0</c:v>
                </c:pt>
                <c:pt idx="51">
                  <c:v>120.0</c:v>
                </c:pt>
              </c:numCache>
            </c:numRef>
          </c:cat>
          <c:val>
            <c:numRef>
              <c:f>肥満曲線_データ!$I$3:$I$55</c:f>
              <c:numCache>
                <c:formatCode>General</c:formatCode>
                <c:ptCount val="53"/>
                <c:pt idx="0">
                  <c:v>9.281293500000002</c:v>
                </c:pt>
                <c:pt idx="1">
                  <c:v>9.46565</c:v>
                </c:pt>
                <c:pt idx="2">
                  <c:v>9.6557335</c:v>
                </c:pt>
                <c:pt idx="3">
                  <c:v>9.851544</c:v>
                </c:pt>
                <c:pt idx="4">
                  <c:v>10.0530815</c:v>
                </c:pt>
                <c:pt idx="5">
                  <c:v>10.260346</c:v>
                </c:pt>
                <c:pt idx="6">
                  <c:v>10.4733375</c:v>
                </c:pt>
                <c:pt idx="7">
                  <c:v>10.692056</c:v>
                </c:pt>
                <c:pt idx="8">
                  <c:v>10.9165015</c:v>
                </c:pt>
                <c:pt idx="9">
                  <c:v>11.146674</c:v>
                </c:pt>
                <c:pt idx="10">
                  <c:v>11.3825735</c:v>
                </c:pt>
                <c:pt idx="11">
                  <c:v>11.6242</c:v>
                </c:pt>
                <c:pt idx="12">
                  <c:v>11.8715535</c:v>
                </c:pt>
                <c:pt idx="13">
                  <c:v>12.124634</c:v>
                </c:pt>
                <c:pt idx="14">
                  <c:v>12.3834415</c:v>
                </c:pt>
                <c:pt idx="15">
                  <c:v>12.647976</c:v>
                </c:pt>
                <c:pt idx="16">
                  <c:v>12.9182375</c:v>
                </c:pt>
                <c:pt idx="17">
                  <c:v>13.194226</c:v>
                </c:pt>
                <c:pt idx="18">
                  <c:v>13.4759415</c:v>
                </c:pt>
                <c:pt idx="19">
                  <c:v>13.763384</c:v>
                </c:pt>
                <c:pt idx="20">
                  <c:v>14.0565535</c:v>
                </c:pt>
                <c:pt idx="21">
                  <c:v>14.35545000000001</c:v>
                </c:pt>
                <c:pt idx="22">
                  <c:v>14.6600735</c:v>
                </c:pt>
                <c:pt idx="23">
                  <c:v>14.970424</c:v>
                </c:pt>
                <c:pt idx="24">
                  <c:v>15.28650150000001</c:v>
                </c:pt>
                <c:pt idx="25">
                  <c:v>15.60830600000001</c:v>
                </c:pt>
                <c:pt idx="26">
                  <c:v>15.9358375</c:v>
                </c:pt>
                <c:pt idx="27">
                  <c:v>16.269096</c:v>
                </c:pt>
                <c:pt idx="28">
                  <c:v>16.6080815</c:v>
                </c:pt>
                <c:pt idx="29">
                  <c:v>16.952794</c:v>
                </c:pt>
                <c:pt idx="30">
                  <c:v>17.30323350000001</c:v>
                </c:pt>
                <c:pt idx="31">
                  <c:v>17.6594</c:v>
                </c:pt>
                <c:pt idx="32">
                  <c:v>18.02129350000001</c:v>
                </c:pt>
                <c:pt idx="33">
                  <c:v>18.388914</c:v>
                </c:pt>
                <c:pt idx="34">
                  <c:v>18.76226150000001</c:v>
                </c:pt>
                <c:pt idx="35">
                  <c:v>19.141336</c:v>
                </c:pt>
                <c:pt idx="36">
                  <c:v>19.52613750000001</c:v>
                </c:pt>
                <c:pt idx="37">
                  <c:v>19.916666</c:v>
                </c:pt>
                <c:pt idx="38">
                  <c:v>20.31292150000001</c:v>
                </c:pt>
                <c:pt idx="39">
                  <c:v>20.71490400000001</c:v>
                </c:pt>
                <c:pt idx="40">
                  <c:v>21.1226135</c:v>
                </c:pt>
                <c:pt idx="41">
                  <c:v>21.53605</c:v>
                </c:pt>
                <c:pt idx="42">
                  <c:v>21.95521350000001</c:v>
                </c:pt>
                <c:pt idx="43">
                  <c:v>22.38010400000001</c:v>
                </c:pt>
                <c:pt idx="44">
                  <c:v>22.8107215</c:v>
                </c:pt>
                <c:pt idx="45">
                  <c:v>23.247066</c:v>
                </c:pt>
                <c:pt idx="46">
                  <c:v>23.6891375</c:v>
                </c:pt>
                <c:pt idx="47">
                  <c:v>24.13693600000001</c:v>
                </c:pt>
                <c:pt idx="48">
                  <c:v>24.59046150000001</c:v>
                </c:pt>
                <c:pt idx="49">
                  <c:v>25.04971400000001</c:v>
                </c:pt>
                <c:pt idx="50">
                  <c:v>25.5146935</c:v>
                </c:pt>
                <c:pt idx="51">
                  <c:v>25.98540000000001</c:v>
                </c:pt>
              </c:numCache>
            </c:numRef>
          </c:val>
          <c:smooth val="0"/>
        </c:ser>
        <c:ser>
          <c:idx val="8"/>
          <c:order val="6"/>
          <c:tx>
            <c:strRef>
              <c:f>肥満曲線_データ!$J$2</c:f>
              <c:strCache>
                <c:ptCount val="1"/>
                <c:pt idx="0">
                  <c:v>+20％</c:v>
                </c:pt>
              </c:strCache>
            </c:strRef>
          </c:tx>
          <c:spPr>
            <a:ln w="19050">
              <a:solidFill>
                <a:schemeClr val="tx1"/>
              </a:solidFill>
            </a:ln>
          </c:spPr>
          <c:marker>
            <c:symbol val="none"/>
          </c:marker>
          <c:dLbls>
            <c:dLbl>
              <c:idx val="50"/>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肥満曲線_データ!$A$3:$A$55</c:f>
              <c:numCache>
                <c:formatCode>General</c:formatCode>
                <c:ptCount val="53"/>
                <c:pt idx="0">
                  <c:v>69.0</c:v>
                </c:pt>
                <c:pt idx="1">
                  <c:v>70.0</c:v>
                </c:pt>
                <c:pt idx="2">
                  <c:v>71.0</c:v>
                </c:pt>
                <c:pt idx="3">
                  <c:v>72.0</c:v>
                </c:pt>
                <c:pt idx="4">
                  <c:v>73.0</c:v>
                </c:pt>
                <c:pt idx="5">
                  <c:v>74.0</c:v>
                </c:pt>
                <c:pt idx="6">
                  <c:v>75.0</c:v>
                </c:pt>
                <c:pt idx="7">
                  <c:v>76.0</c:v>
                </c:pt>
                <c:pt idx="8">
                  <c:v>77.0</c:v>
                </c:pt>
                <c:pt idx="9">
                  <c:v>78.0</c:v>
                </c:pt>
                <c:pt idx="10">
                  <c:v>79.0</c:v>
                </c:pt>
                <c:pt idx="11">
                  <c:v>80.0</c:v>
                </c:pt>
                <c:pt idx="12">
                  <c:v>81.0</c:v>
                </c:pt>
                <c:pt idx="13">
                  <c:v>82.0</c:v>
                </c:pt>
                <c:pt idx="14">
                  <c:v>83.0</c:v>
                </c:pt>
                <c:pt idx="15">
                  <c:v>84.0</c:v>
                </c:pt>
                <c:pt idx="16">
                  <c:v>85.0</c:v>
                </c:pt>
                <c:pt idx="17">
                  <c:v>86.0</c:v>
                </c:pt>
                <c:pt idx="18">
                  <c:v>87.0</c:v>
                </c:pt>
                <c:pt idx="19">
                  <c:v>88.0</c:v>
                </c:pt>
                <c:pt idx="20">
                  <c:v>89.0</c:v>
                </c:pt>
                <c:pt idx="21">
                  <c:v>90.0</c:v>
                </c:pt>
                <c:pt idx="22">
                  <c:v>91.0</c:v>
                </c:pt>
                <c:pt idx="23">
                  <c:v>92.0</c:v>
                </c:pt>
                <c:pt idx="24">
                  <c:v>93.0</c:v>
                </c:pt>
                <c:pt idx="25">
                  <c:v>94.0</c:v>
                </c:pt>
                <c:pt idx="26">
                  <c:v>95.0</c:v>
                </c:pt>
                <c:pt idx="27">
                  <c:v>96.0</c:v>
                </c:pt>
                <c:pt idx="28">
                  <c:v>97.0</c:v>
                </c:pt>
                <c:pt idx="29">
                  <c:v>98.0</c:v>
                </c:pt>
                <c:pt idx="30">
                  <c:v>99.0</c:v>
                </c:pt>
                <c:pt idx="31">
                  <c:v>100.0</c:v>
                </c:pt>
                <c:pt idx="32">
                  <c:v>101.0</c:v>
                </c:pt>
                <c:pt idx="33">
                  <c:v>102.0</c:v>
                </c:pt>
                <c:pt idx="34">
                  <c:v>103.0</c:v>
                </c:pt>
                <c:pt idx="35">
                  <c:v>104.0</c:v>
                </c:pt>
                <c:pt idx="36">
                  <c:v>105.0</c:v>
                </c:pt>
                <c:pt idx="37">
                  <c:v>106.0</c:v>
                </c:pt>
                <c:pt idx="38">
                  <c:v>107.0</c:v>
                </c:pt>
                <c:pt idx="39">
                  <c:v>108.0</c:v>
                </c:pt>
                <c:pt idx="40">
                  <c:v>109.0</c:v>
                </c:pt>
                <c:pt idx="41">
                  <c:v>110.0</c:v>
                </c:pt>
                <c:pt idx="42">
                  <c:v>111.0</c:v>
                </c:pt>
                <c:pt idx="43">
                  <c:v>112.0</c:v>
                </c:pt>
                <c:pt idx="44">
                  <c:v>113.0</c:v>
                </c:pt>
                <c:pt idx="45">
                  <c:v>114.0</c:v>
                </c:pt>
                <c:pt idx="46">
                  <c:v>115.0</c:v>
                </c:pt>
                <c:pt idx="47">
                  <c:v>116.0</c:v>
                </c:pt>
                <c:pt idx="48">
                  <c:v>117.0</c:v>
                </c:pt>
                <c:pt idx="49">
                  <c:v>118.0</c:v>
                </c:pt>
                <c:pt idx="50">
                  <c:v>119.0</c:v>
                </c:pt>
                <c:pt idx="51">
                  <c:v>120.0</c:v>
                </c:pt>
              </c:numCache>
            </c:numRef>
          </c:cat>
          <c:val>
            <c:numRef>
              <c:f>肥満曲線_データ!$J$3:$J$55</c:f>
              <c:numCache>
                <c:formatCode>General</c:formatCode>
                <c:ptCount val="53"/>
                <c:pt idx="0">
                  <c:v>9.684828000000003</c:v>
                </c:pt>
                <c:pt idx="1">
                  <c:v>9.877200000000001</c:v>
                </c:pt>
                <c:pt idx="2">
                  <c:v>10.075548</c:v>
                </c:pt>
                <c:pt idx="3">
                  <c:v>10.279872</c:v>
                </c:pt>
                <c:pt idx="4">
                  <c:v>10.490172</c:v>
                </c:pt>
                <c:pt idx="5">
                  <c:v>10.706448</c:v>
                </c:pt>
                <c:pt idx="6">
                  <c:v>10.9287</c:v>
                </c:pt>
                <c:pt idx="7">
                  <c:v>11.156928</c:v>
                </c:pt>
                <c:pt idx="8">
                  <c:v>11.391132</c:v>
                </c:pt>
                <c:pt idx="9">
                  <c:v>11.631312</c:v>
                </c:pt>
                <c:pt idx="10">
                  <c:v>11.877468</c:v>
                </c:pt>
                <c:pt idx="11">
                  <c:v>12.12960000000001</c:v>
                </c:pt>
                <c:pt idx="12">
                  <c:v>12.38770800000001</c:v>
                </c:pt>
                <c:pt idx="13">
                  <c:v>12.651792</c:v>
                </c:pt>
                <c:pt idx="14">
                  <c:v>12.921852</c:v>
                </c:pt>
                <c:pt idx="15">
                  <c:v>13.197888</c:v>
                </c:pt>
                <c:pt idx="16">
                  <c:v>13.4799</c:v>
                </c:pt>
                <c:pt idx="17">
                  <c:v>13.767888</c:v>
                </c:pt>
                <c:pt idx="18">
                  <c:v>14.06185200000001</c:v>
                </c:pt>
                <c:pt idx="19">
                  <c:v>14.361792</c:v>
                </c:pt>
                <c:pt idx="20">
                  <c:v>14.667708</c:v>
                </c:pt>
                <c:pt idx="21">
                  <c:v>14.97960000000001</c:v>
                </c:pt>
                <c:pt idx="22">
                  <c:v>15.297468</c:v>
                </c:pt>
                <c:pt idx="23">
                  <c:v>15.621312</c:v>
                </c:pt>
                <c:pt idx="24">
                  <c:v>15.951132</c:v>
                </c:pt>
                <c:pt idx="25">
                  <c:v>16.28692800000001</c:v>
                </c:pt>
                <c:pt idx="26">
                  <c:v>16.6287</c:v>
                </c:pt>
                <c:pt idx="27">
                  <c:v>16.976448</c:v>
                </c:pt>
                <c:pt idx="28">
                  <c:v>17.330172</c:v>
                </c:pt>
                <c:pt idx="29">
                  <c:v>17.689872</c:v>
                </c:pt>
                <c:pt idx="30">
                  <c:v>18.05554800000001</c:v>
                </c:pt>
                <c:pt idx="31">
                  <c:v>18.42720000000001</c:v>
                </c:pt>
                <c:pt idx="32">
                  <c:v>18.80482800000001</c:v>
                </c:pt>
                <c:pt idx="33">
                  <c:v>19.18843200000001</c:v>
                </c:pt>
                <c:pt idx="34">
                  <c:v>19.57801200000001</c:v>
                </c:pt>
                <c:pt idx="35">
                  <c:v>19.973568</c:v>
                </c:pt>
                <c:pt idx="36">
                  <c:v>20.37510000000001</c:v>
                </c:pt>
                <c:pt idx="37">
                  <c:v>20.782608</c:v>
                </c:pt>
                <c:pt idx="38">
                  <c:v>21.19609200000001</c:v>
                </c:pt>
                <c:pt idx="39">
                  <c:v>21.61555200000001</c:v>
                </c:pt>
                <c:pt idx="40">
                  <c:v>22.040988</c:v>
                </c:pt>
                <c:pt idx="41">
                  <c:v>22.4724</c:v>
                </c:pt>
                <c:pt idx="42">
                  <c:v>22.90978800000001</c:v>
                </c:pt>
                <c:pt idx="43">
                  <c:v>23.35315200000001</c:v>
                </c:pt>
                <c:pt idx="44">
                  <c:v>23.802492</c:v>
                </c:pt>
                <c:pt idx="45">
                  <c:v>24.257808</c:v>
                </c:pt>
                <c:pt idx="46">
                  <c:v>24.7191</c:v>
                </c:pt>
                <c:pt idx="47">
                  <c:v>25.18636800000001</c:v>
                </c:pt>
                <c:pt idx="48">
                  <c:v>25.65961200000001</c:v>
                </c:pt>
                <c:pt idx="49">
                  <c:v>26.13883200000001</c:v>
                </c:pt>
                <c:pt idx="50">
                  <c:v>26.62402800000001</c:v>
                </c:pt>
                <c:pt idx="51">
                  <c:v>27.11520000000001</c:v>
                </c:pt>
              </c:numCache>
            </c:numRef>
          </c:val>
          <c:smooth val="0"/>
        </c:ser>
        <c:ser>
          <c:idx val="9"/>
          <c:order val="7"/>
          <c:tx>
            <c:strRef>
              <c:f>肥満曲線_データ!$K$2</c:f>
              <c:strCache>
                <c:ptCount val="1"/>
                <c:pt idx="0">
                  <c:v>+30％</c:v>
                </c:pt>
              </c:strCache>
            </c:strRef>
          </c:tx>
          <c:spPr>
            <a:ln w="19050">
              <a:solidFill>
                <a:schemeClr val="tx1"/>
              </a:solidFill>
            </a:ln>
          </c:spPr>
          <c:marker>
            <c:symbol val="none"/>
          </c:marker>
          <c:dLbls>
            <c:dLbl>
              <c:idx val="50"/>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肥満曲線_データ!$A$3:$A$55</c:f>
              <c:numCache>
                <c:formatCode>General</c:formatCode>
                <c:ptCount val="53"/>
                <c:pt idx="0">
                  <c:v>69.0</c:v>
                </c:pt>
                <c:pt idx="1">
                  <c:v>70.0</c:v>
                </c:pt>
                <c:pt idx="2">
                  <c:v>71.0</c:v>
                </c:pt>
                <c:pt idx="3">
                  <c:v>72.0</c:v>
                </c:pt>
                <c:pt idx="4">
                  <c:v>73.0</c:v>
                </c:pt>
                <c:pt idx="5">
                  <c:v>74.0</c:v>
                </c:pt>
                <c:pt idx="6">
                  <c:v>75.0</c:v>
                </c:pt>
                <c:pt idx="7">
                  <c:v>76.0</c:v>
                </c:pt>
                <c:pt idx="8">
                  <c:v>77.0</c:v>
                </c:pt>
                <c:pt idx="9">
                  <c:v>78.0</c:v>
                </c:pt>
                <c:pt idx="10">
                  <c:v>79.0</c:v>
                </c:pt>
                <c:pt idx="11">
                  <c:v>80.0</c:v>
                </c:pt>
                <c:pt idx="12">
                  <c:v>81.0</c:v>
                </c:pt>
                <c:pt idx="13">
                  <c:v>82.0</c:v>
                </c:pt>
                <c:pt idx="14">
                  <c:v>83.0</c:v>
                </c:pt>
                <c:pt idx="15">
                  <c:v>84.0</c:v>
                </c:pt>
                <c:pt idx="16">
                  <c:v>85.0</c:v>
                </c:pt>
                <c:pt idx="17">
                  <c:v>86.0</c:v>
                </c:pt>
                <c:pt idx="18">
                  <c:v>87.0</c:v>
                </c:pt>
                <c:pt idx="19">
                  <c:v>88.0</c:v>
                </c:pt>
                <c:pt idx="20">
                  <c:v>89.0</c:v>
                </c:pt>
                <c:pt idx="21">
                  <c:v>90.0</c:v>
                </c:pt>
                <c:pt idx="22">
                  <c:v>91.0</c:v>
                </c:pt>
                <c:pt idx="23">
                  <c:v>92.0</c:v>
                </c:pt>
                <c:pt idx="24">
                  <c:v>93.0</c:v>
                </c:pt>
                <c:pt idx="25">
                  <c:v>94.0</c:v>
                </c:pt>
                <c:pt idx="26">
                  <c:v>95.0</c:v>
                </c:pt>
                <c:pt idx="27">
                  <c:v>96.0</c:v>
                </c:pt>
                <c:pt idx="28">
                  <c:v>97.0</c:v>
                </c:pt>
                <c:pt idx="29">
                  <c:v>98.0</c:v>
                </c:pt>
                <c:pt idx="30">
                  <c:v>99.0</c:v>
                </c:pt>
                <c:pt idx="31">
                  <c:v>100.0</c:v>
                </c:pt>
                <c:pt idx="32">
                  <c:v>101.0</c:v>
                </c:pt>
                <c:pt idx="33">
                  <c:v>102.0</c:v>
                </c:pt>
                <c:pt idx="34">
                  <c:v>103.0</c:v>
                </c:pt>
                <c:pt idx="35">
                  <c:v>104.0</c:v>
                </c:pt>
                <c:pt idx="36">
                  <c:v>105.0</c:v>
                </c:pt>
                <c:pt idx="37">
                  <c:v>106.0</c:v>
                </c:pt>
                <c:pt idx="38">
                  <c:v>107.0</c:v>
                </c:pt>
                <c:pt idx="39">
                  <c:v>108.0</c:v>
                </c:pt>
                <c:pt idx="40">
                  <c:v>109.0</c:v>
                </c:pt>
                <c:pt idx="41">
                  <c:v>110.0</c:v>
                </c:pt>
                <c:pt idx="42">
                  <c:v>111.0</c:v>
                </c:pt>
                <c:pt idx="43">
                  <c:v>112.0</c:v>
                </c:pt>
                <c:pt idx="44">
                  <c:v>113.0</c:v>
                </c:pt>
                <c:pt idx="45">
                  <c:v>114.0</c:v>
                </c:pt>
                <c:pt idx="46">
                  <c:v>115.0</c:v>
                </c:pt>
                <c:pt idx="47">
                  <c:v>116.0</c:v>
                </c:pt>
                <c:pt idx="48">
                  <c:v>117.0</c:v>
                </c:pt>
                <c:pt idx="49">
                  <c:v>118.0</c:v>
                </c:pt>
                <c:pt idx="50">
                  <c:v>119.0</c:v>
                </c:pt>
                <c:pt idx="51">
                  <c:v>120.0</c:v>
                </c:pt>
              </c:numCache>
            </c:numRef>
          </c:cat>
          <c:val>
            <c:numRef>
              <c:f>肥満曲線_データ!$K$3:$K$55</c:f>
              <c:numCache>
                <c:formatCode>General</c:formatCode>
                <c:ptCount val="53"/>
                <c:pt idx="0">
                  <c:v>10.491897</c:v>
                </c:pt>
                <c:pt idx="1">
                  <c:v>10.7003</c:v>
                </c:pt>
                <c:pt idx="2">
                  <c:v>10.915177</c:v>
                </c:pt>
                <c:pt idx="3">
                  <c:v>11.136528</c:v>
                </c:pt>
                <c:pt idx="4">
                  <c:v>11.364353</c:v>
                </c:pt>
                <c:pt idx="5">
                  <c:v>11.598652</c:v>
                </c:pt>
                <c:pt idx="6">
                  <c:v>11.83942500000001</c:v>
                </c:pt>
                <c:pt idx="7">
                  <c:v>12.08667200000001</c:v>
                </c:pt>
                <c:pt idx="8">
                  <c:v>12.340393</c:v>
                </c:pt>
                <c:pt idx="9">
                  <c:v>12.600588</c:v>
                </c:pt>
                <c:pt idx="10">
                  <c:v>12.86725700000001</c:v>
                </c:pt>
                <c:pt idx="11">
                  <c:v>13.1404</c:v>
                </c:pt>
                <c:pt idx="12">
                  <c:v>13.420017</c:v>
                </c:pt>
                <c:pt idx="13">
                  <c:v>13.70610800000001</c:v>
                </c:pt>
                <c:pt idx="14">
                  <c:v>13.99867300000001</c:v>
                </c:pt>
                <c:pt idx="15">
                  <c:v>14.29771200000001</c:v>
                </c:pt>
                <c:pt idx="16">
                  <c:v>14.60322500000001</c:v>
                </c:pt>
                <c:pt idx="17">
                  <c:v>14.915212</c:v>
                </c:pt>
                <c:pt idx="18">
                  <c:v>15.23367300000001</c:v>
                </c:pt>
                <c:pt idx="19">
                  <c:v>15.558608</c:v>
                </c:pt>
                <c:pt idx="20">
                  <c:v>15.890017</c:v>
                </c:pt>
                <c:pt idx="21">
                  <c:v>16.22790000000001</c:v>
                </c:pt>
                <c:pt idx="22">
                  <c:v>16.572257</c:v>
                </c:pt>
                <c:pt idx="23">
                  <c:v>16.92308800000001</c:v>
                </c:pt>
                <c:pt idx="24">
                  <c:v>17.28039300000001</c:v>
                </c:pt>
                <c:pt idx="25">
                  <c:v>17.64417200000001</c:v>
                </c:pt>
                <c:pt idx="26">
                  <c:v>18.014425</c:v>
                </c:pt>
                <c:pt idx="27">
                  <c:v>18.39115200000001</c:v>
                </c:pt>
                <c:pt idx="28">
                  <c:v>18.774353</c:v>
                </c:pt>
                <c:pt idx="29">
                  <c:v>19.164028</c:v>
                </c:pt>
                <c:pt idx="30">
                  <c:v>19.56017700000001</c:v>
                </c:pt>
                <c:pt idx="31">
                  <c:v>19.96280000000001</c:v>
                </c:pt>
                <c:pt idx="32">
                  <c:v>20.37189700000001</c:v>
                </c:pt>
                <c:pt idx="33">
                  <c:v>20.78746800000001</c:v>
                </c:pt>
                <c:pt idx="34">
                  <c:v>21.20951300000001</c:v>
                </c:pt>
                <c:pt idx="35">
                  <c:v>21.638032</c:v>
                </c:pt>
                <c:pt idx="36">
                  <c:v>22.07302500000001</c:v>
                </c:pt>
                <c:pt idx="37">
                  <c:v>22.514492</c:v>
                </c:pt>
                <c:pt idx="38">
                  <c:v>22.96243300000001</c:v>
                </c:pt>
                <c:pt idx="39">
                  <c:v>23.41684800000001</c:v>
                </c:pt>
                <c:pt idx="40">
                  <c:v>23.87773700000001</c:v>
                </c:pt>
                <c:pt idx="41">
                  <c:v>24.34510000000001</c:v>
                </c:pt>
                <c:pt idx="42">
                  <c:v>24.81893700000001</c:v>
                </c:pt>
                <c:pt idx="43">
                  <c:v>25.29924800000001</c:v>
                </c:pt>
                <c:pt idx="44">
                  <c:v>25.786033</c:v>
                </c:pt>
                <c:pt idx="45">
                  <c:v>26.27929200000001</c:v>
                </c:pt>
                <c:pt idx="46">
                  <c:v>26.77902500000001</c:v>
                </c:pt>
                <c:pt idx="47">
                  <c:v>27.28523200000001</c:v>
                </c:pt>
                <c:pt idx="48">
                  <c:v>27.79791300000002</c:v>
                </c:pt>
                <c:pt idx="49">
                  <c:v>28.31706800000001</c:v>
                </c:pt>
                <c:pt idx="50">
                  <c:v>28.84269700000001</c:v>
                </c:pt>
                <c:pt idx="51">
                  <c:v>29.37480000000001</c:v>
                </c:pt>
              </c:numCache>
            </c:numRef>
          </c:val>
          <c:smooth val="0"/>
        </c:ser>
        <c:dLbls>
          <c:showLegendKey val="0"/>
          <c:showVal val="0"/>
          <c:showCatName val="0"/>
          <c:showSerName val="0"/>
          <c:showPercent val="0"/>
          <c:showBubbleSize val="0"/>
        </c:dLbls>
        <c:marker val="1"/>
        <c:smooth val="0"/>
        <c:axId val="-934879648"/>
        <c:axId val="-962429728"/>
      </c:lineChart>
      <c:scatterChart>
        <c:scatterStyle val="lineMarker"/>
        <c:varyColors val="0"/>
        <c:ser>
          <c:idx val="0"/>
          <c:order val="8"/>
          <c:tx>
            <c:v>身長・体重</c:v>
          </c:tx>
          <c:spPr>
            <a:ln w="28575">
              <a:noFill/>
            </a:ln>
          </c:spPr>
          <c:marker>
            <c:symbol val="circle"/>
            <c:size val="7"/>
            <c:spPr>
              <a:solidFill>
                <a:srgbClr val="FF0000"/>
              </a:solidFill>
              <a:ln>
                <a:solidFill>
                  <a:schemeClr val="bg1"/>
                </a:solidFill>
              </a:ln>
            </c:spPr>
          </c:marker>
          <c:xVal>
            <c:numRef>
              <c:f>入力!$AH$7:$AH$156</c:f>
              <c:numCache>
                <c:formatCode>General</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入力!$AI$7:$AI$156</c:f>
              <c:numCache>
                <c:formatCode>General</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yVal>
          <c:smooth val="0"/>
          <c:extLst/>
        </c:ser>
        <c:dLbls>
          <c:showLegendKey val="0"/>
          <c:showVal val="0"/>
          <c:showCatName val="0"/>
          <c:showSerName val="0"/>
          <c:showPercent val="0"/>
          <c:showBubbleSize val="0"/>
        </c:dLbls>
        <c:axId val="-934879648"/>
        <c:axId val="-962429728"/>
      </c:scatterChart>
      <c:dateAx>
        <c:axId val="-934879648"/>
        <c:scaling>
          <c:orientation val="minMax"/>
          <c:max val="120.0"/>
          <c:min val="70.0"/>
        </c:scaling>
        <c:delete val="0"/>
        <c:axPos val="b"/>
        <c:majorGridlines/>
        <c:minorGridlines/>
        <c:title>
          <c:tx>
            <c:rich>
              <a:bodyPr/>
              <a:lstStyle/>
              <a:p>
                <a:pPr>
                  <a:defRPr/>
                </a:pPr>
                <a:r>
                  <a:rPr lang="ja-JP" altLang="en-US"/>
                  <a:t>身長</a:t>
                </a:r>
                <a:r>
                  <a:rPr lang="en-US" altLang="ja-JP"/>
                  <a:t>(cm)</a:t>
                </a:r>
                <a:endParaRPr lang="ja-JP" altLang="en-US"/>
              </a:p>
            </c:rich>
          </c:tx>
          <c:overlay val="0"/>
        </c:title>
        <c:numFmt formatCode="General" sourceLinked="1"/>
        <c:majorTickMark val="out"/>
        <c:minorTickMark val="none"/>
        <c:tickLblPos val="nextTo"/>
        <c:crossAx val="-962429728"/>
        <c:crosses val="autoZero"/>
        <c:auto val="0"/>
        <c:lblOffset val="100"/>
        <c:baseTimeUnit val="days"/>
        <c:majorUnit val="10.0"/>
        <c:minorUnit val="5.0"/>
        <c:minorTimeUnit val="days"/>
      </c:dateAx>
      <c:valAx>
        <c:axId val="-962429728"/>
        <c:scaling>
          <c:orientation val="minMax"/>
        </c:scaling>
        <c:delete val="0"/>
        <c:axPos val="l"/>
        <c:majorGridlines/>
        <c:title>
          <c:tx>
            <c:rich>
              <a:bodyPr rot="0" vert="wordArtVertRtl"/>
              <a:lstStyle/>
              <a:p>
                <a:pPr>
                  <a:defRPr/>
                </a:pPr>
                <a:r>
                  <a:rPr lang="ja-JP" altLang="en-US"/>
                  <a:t>体重</a:t>
                </a:r>
                <a:r>
                  <a:rPr lang="en-US" altLang="ja-JP"/>
                  <a:t>(</a:t>
                </a:r>
                <a:r>
                  <a:rPr lang="en-US" altLang="en-US"/>
                  <a:t>kg)</a:t>
                </a:r>
              </a:p>
            </c:rich>
          </c:tx>
          <c:layout>
            <c:manualLayout>
              <c:xMode val="edge"/>
              <c:yMode val="edge"/>
              <c:x val="0.0455754967565991"/>
              <c:y val="0.449687299021397"/>
            </c:manualLayout>
          </c:layout>
          <c:overlay val="0"/>
        </c:title>
        <c:numFmt formatCode="General" sourceLinked="1"/>
        <c:majorTickMark val="out"/>
        <c:minorTickMark val="none"/>
        <c:tickLblPos val="nextTo"/>
        <c:crossAx val="-934879648"/>
        <c:crosses val="autoZero"/>
        <c:crossBetween val="midCat"/>
      </c:valAx>
    </c:plotArea>
    <c:plotVisOnly val="1"/>
    <c:dispBlanksAs val="zero"/>
    <c:showDLblsOverMax val="0"/>
  </c:chart>
  <c:printSettings>
    <c:headerFooter/>
    <c:pageMargins b="0.750000000000002" l="0.700000000000001" r="0.700000000000001" t="0.750000000000002"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肥満曲線_データ!$O$2</c:f>
          <c:strCache>
            <c:ptCount val="1"/>
            <c:pt idx="0">
              <c:v>学童用　肥満度判定曲線()　(身長101～171cm)</c:v>
            </c:pt>
          </c:strCache>
        </c:strRef>
      </c:tx>
      <c:layout>
        <c:manualLayout>
          <c:xMode val="edge"/>
          <c:yMode val="edge"/>
          <c:x val="0.161653125"/>
          <c:y val="0.0914688888888889"/>
        </c:manualLayout>
      </c:layout>
      <c:overlay val="0"/>
      <c:txPr>
        <a:bodyPr/>
        <a:lstStyle/>
        <a:p>
          <a:pPr>
            <a:defRPr sz="1600"/>
          </a:pPr>
          <a:endParaRPr lang="ja-JP"/>
        </a:p>
      </c:txPr>
    </c:title>
    <c:autoTitleDeleted val="0"/>
    <c:plotArea>
      <c:layout>
        <c:manualLayout>
          <c:layoutTarget val="inner"/>
          <c:xMode val="edge"/>
          <c:yMode val="edge"/>
          <c:x val="0.147979633176484"/>
          <c:y val="0.0690552224018355"/>
          <c:w val="0.779966666666667"/>
          <c:h val="0.824893292311973"/>
        </c:manualLayout>
      </c:layout>
      <c:areaChart>
        <c:grouping val="stacked"/>
        <c:varyColors val="0"/>
        <c:ser>
          <c:idx val="2"/>
          <c:order val="0"/>
          <c:tx>
            <c:strRef>
              <c:f>肥満曲線_データ!$D$2</c:f>
              <c:strCache>
                <c:ptCount val="1"/>
                <c:pt idx="0">
                  <c:v>-15％積み上げ</c:v>
                </c:pt>
              </c:strCache>
            </c:strRef>
          </c:tx>
          <c:spPr>
            <a:noFill/>
            <a:ln w="28575">
              <a:noFill/>
            </a:ln>
          </c:spPr>
          <c:cat>
            <c:numRef>
              <c:f>肥満曲線_データ!$A$59:$A$142</c:f>
              <c:numCache>
                <c:formatCode>General</c:formatCode>
                <c:ptCount val="84"/>
                <c:pt idx="0">
                  <c:v>101.0</c:v>
                </c:pt>
                <c:pt idx="1">
                  <c:v>102.0</c:v>
                </c:pt>
                <c:pt idx="2">
                  <c:v>103.0</c:v>
                </c:pt>
                <c:pt idx="3">
                  <c:v>104.0</c:v>
                </c:pt>
                <c:pt idx="4">
                  <c:v>105.0</c:v>
                </c:pt>
                <c:pt idx="5">
                  <c:v>106.0</c:v>
                </c:pt>
                <c:pt idx="6">
                  <c:v>107.0</c:v>
                </c:pt>
                <c:pt idx="7">
                  <c:v>108.0</c:v>
                </c:pt>
                <c:pt idx="8">
                  <c:v>109.0</c:v>
                </c:pt>
                <c:pt idx="9">
                  <c:v>110.0</c:v>
                </c:pt>
                <c:pt idx="10">
                  <c:v>111.0</c:v>
                </c:pt>
                <c:pt idx="11">
                  <c:v>112.0</c:v>
                </c:pt>
                <c:pt idx="12">
                  <c:v>113.0</c:v>
                </c:pt>
                <c:pt idx="13">
                  <c:v>114.0</c:v>
                </c:pt>
                <c:pt idx="14">
                  <c:v>115.0</c:v>
                </c:pt>
                <c:pt idx="15">
                  <c:v>116.0</c:v>
                </c:pt>
                <c:pt idx="16">
                  <c:v>117.0</c:v>
                </c:pt>
                <c:pt idx="17">
                  <c:v>118.0</c:v>
                </c:pt>
                <c:pt idx="18">
                  <c:v>119.0</c:v>
                </c:pt>
                <c:pt idx="19">
                  <c:v>120.0</c:v>
                </c:pt>
                <c:pt idx="20">
                  <c:v>121.0</c:v>
                </c:pt>
                <c:pt idx="21">
                  <c:v>122.0</c:v>
                </c:pt>
                <c:pt idx="22">
                  <c:v>123.0</c:v>
                </c:pt>
                <c:pt idx="23">
                  <c:v>124.0</c:v>
                </c:pt>
                <c:pt idx="24">
                  <c:v>125.0</c:v>
                </c:pt>
                <c:pt idx="25">
                  <c:v>126.0</c:v>
                </c:pt>
                <c:pt idx="26">
                  <c:v>127.0</c:v>
                </c:pt>
                <c:pt idx="27">
                  <c:v>128.0</c:v>
                </c:pt>
                <c:pt idx="28">
                  <c:v>129.0</c:v>
                </c:pt>
                <c:pt idx="29">
                  <c:v>130.0</c:v>
                </c:pt>
                <c:pt idx="30">
                  <c:v>131.0</c:v>
                </c:pt>
                <c:pt idx="31">
                  <c:v>132.0</c:v>
                </c:pt>
                <c:pt idx="32">
                  <c:v>133.0</c:v>
                </c:pt>
                <c:pt idx="33">
                  <c:v>134.0</c:v>
                </c:pt>
                <c:pt idx="34">
                  <c:v>135.0</c:v>
                </c:pt>
                <c:pt idx="35">
                  <c:v>136.0</c:v>
                </c:pt>
                <c:pt idx="36">
                  <c:v>137.0</c:v>
                </c:pt>
                <c:pt idx="37">
                  <c:v>138.0</c:v>
                </c:pt>
                <c:pt idx="38">
                  <c:v>139.0</c:v>
                </c:pt>
                <c:pt idx="39">
                  <c:v>140.0</c:v>
                </c:pt>
                <c:pt idx="40">
                  <c:v>141.0</c:v>
                </c:pt>
                <c:pt idx="41">
                  <c:v>142.0</c:v>
                </c:pt>
                <c:pt idx="42">
                  <c:v>143.0</c:v>
                </c:pt>
                <c:pt idx="43">
                  <c:v>144.0</c:v>
                </c:pt>
                <c:pt idx="44">
                  <c:v>145.0</c:v>
                </c:pt>
                <c:pt idx="45">
                  <c:v>146.0</c:v>
                </c:pt>
                <c:pt idx="46">
                  <c:v>147.0</c:v>
                </c:pt>
                <c:pt idx="47">
                  <c:v>148.0</c:v>
                </c:pt>
                <c:pt idx="48">
                  <c:v>149.0</c:v>
                </c:pt>
                <c:pt idx="49">
                  <c:v>150.0</c:v>
                </c:pt>
                <c:pt idx="50">
                  <c:v>151.0</c:v>
                </c:pt>
                <c:pt idx="51">
                  <c:v>152.0</c:v>
                </c:pt>
                <c:pt idx="52">
                  <c:v>153.0</c:v>
                </c:pt>
                <c:pt idx="53">
                  <c:v>154.0</c:v>
                </c:pt>
                <c:pt idx="54">
                  <c:v>155.0</c:v>
                </c:pt>
                <c:pt idx="55">
                  <c:v>156.0</c:v>
                </c:pt>
                <c:pt idx="56">
                  <c:v>157.0</c:v>
                </c:pt>
                <c:pt idx="57">
                  <c:v>158.0</c:v>
                </c:pt>
                <c:pt idx="58">
                  <c:v>159.0</c:v>
                </c:pt>
                <c:pt idx="59">
                  <c:v>160.0</c:v>
                </c:pt>
                <c:pt idx="60">
                  <c:v>161.0</c:v>
                </c:pt>
                <c:pt idx="61">
                  <c:v>162.0</c:v>
                </c:pt>
                <c:pt idx="62">
                  <c:v>163.0</c:v>
                </c:pt>
                <c:pt idx="63">
                  <c:v>164.0</c:v>
                </c:pt>
                <c:pt idx="64">
                  <c:v>165.0</c:v>
                </c:pt>
                <c:pt idx="65">
                  <c:v>166.0</c:v>
                </c:pt>
                <c:pt idx="66">
                  <c:v>167.0</c:v>
                </c:pt>
                <c:pt idx="67">
                  <c:v>168.0</c:v>
                </c:pt>
                <c:pt idx="68">
                  <c:v>169.0</c:v>
                </c:pt>
                <c:pt idx="69">
                  <c:v>170.0</c:v>
                </c:pt>
                <c:pt idx="70">
                  <c:v>171.0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cat>
          <c:val>
            <c:numRef>
              <c:f>肥満曲線_データ!$D$59:$D$142</c:f>
              <c:numCache>
                <c:formatCode>General</c:formatCode>
                <c:ptCount val="84"/>
                <c:pt idx="0">
                  <c:v>13.19112199710006</c:v>
                </c:pt>
                <c:pt idx="1">
                  <c:v>13.53875377680001</c:v>
                </c:pt>
                <c:pt idx="2">
                  <c:v>13.88208502169997</c:v>
                </c:pt>
                <c:pt idx="3">
                  <c:v>14.22180541439998</c:v>
                </c:pt>
                <c:pt idx="4">
                  <c:v>14.55860463749997</c:v>
                </c:pt>
                <c:pt idx="5">
                  <c:v>14.89317237359997</c:v>
                </c:pt>
                <c:pt idx="6">
                  <c:v>15.22619830529995</c:v>
                </c:pt>
                <c:pt idx="7">
                  <c:v>15.55837211519999</c:v>
                </c:pt>
                <c:pt idx="8">
                  <c:v>15.89038348589997</c:v>
                </c:pt>
                <c:pt idx="9">
                  <c:v>16.22292210000002</c:v>
                </c:pt>
                <c:pt idx="10">
                  <c:v>16.55667764010001</c:v>
                </c:pt>
                <c:pt idx="11">
                  <c:v>16.89233978879997</c:v>
                </c:pt>
                <c:pt idx="12">
                  <c:v>17.23059822870009</c:v>
                </c:pt>
                <c:pt idx="13">
                  <c:v>17.57214264239998</c:v>
                </c:pt>
                <c:pt idx="14">
                  <c:v>17.91766271249988</c:v>
                </c:pt>
                <c:pt idx="15">
                  <c:v>18.26784812160007</c:v>
                </c:pt>
                <c:pt idx="16">
                  <c:v>18.62338855230002</c:v>
                </c:pt>
                <c:pt idx="17">
                  <c:v>18.98497368719991</c:v>
                </c:pt>
                <c:pt idx="18">
                  <c:v>19.35329320890002</c:v>
                </c:pt>
                <c:pt idx="19">
                  <c:v>19.72903679999993</c:v>
                </c:pt>
                <c:pt idx="20">
                  <c:v>20.11289414310001</c:v>
                </c:pt>
                <c:pt idx="21">
                  <c:v>20.50555492080005</c:v>
                </c:pt>
                <c:pt idx="22">
                  <c:v>20.90770881569991</c:v>
                </c:pt>
                <c:pt idx="23">
                  <c:v>21.32004551040004</c:v>
                </c:pt>
                <c:pt idx="24">
                  <c:v>21.74325468750005</c:v>
                </c:pt>
                <c:pt idx="25">
                  <c:v>22.17802602959992</c:v>
                </c:pt>
                <c:pt idx="26">
                  <c:v>22.62504921929999</c:v>
                </c:pt>
                <c:pt idx="27">
                  <c:v>23.08501393919998</c:v>
                </c:pt>
                <c:pt idx="28">
                  <c:v>23.55860987189997</c:v>
                </c:pt>
                <c:pt idx="29">
                  <c:v>24.04652669999998</c:v>
                </c:pt>
                <c:pt idx="30">
                  <c:v>24.5494541061</c:v>
                </c:pt>
                <c:pt idx="31">
                  <c:v>25.06808177279995</c:v>
                </c:pt>
                <c:pt idx="32">
                  <c:v>25.60309938270002</c:v>
                </c:pt>
                <c:pt idx="33">
                  <c:v>26.15519661839997</c:v>
                </c:pt>
                <c:pt idx="34">
                  <c:v>26.72506316249999</c:v>
                </c:pt>
                <c:pt idx="35">
                  <c:v>27.3133886976</c:v>
                </c:pt>
                <c:pt idx="36">
                  <c:v>27.92086290629993</c:v>
                </c:pt>
                <c:pt idx="37">
                  <c:v>28.54817547120001</c:v>
                </c:pt>
                <c:pt idx="38">
                  <c:v>29.19601607489998</c:v>
                </c:pt>
                <c:pt idx="39">
                  <c:v>29.84594400000069</c:v>
                </c:pt>
                <c:pt idx="40">
                  <c:v>30.49850622600107</c:v>
                </c:pt>
                <c:pt idx="41">
                  <c:v>31.23700372799949</c:v>
                </c:pt>
                <c:pt idx="42">
                  <c:v>32.05178314199848</c:v>
                </c:pt>
                <c:pt idx="43">
                  <c:v>32.93319110400053</c:v>
                </c:pt>
                <c:pt idx="44">
                  <c:v>33.87157425000159</c:v>
                </c:pt>
                <c:pt idx="45">
                  <c:v>34.85727921599764</c:v>
                </c:pt>
                <c:pt idx="46">
                  <c:v>35.880652638001</c:v>
                </c:pt>
                <c:pt idx="47">
                  <c:v>36.93204115200106</c:v>
                </c:pt>
                <c:pt idx="48">
                  <c:v>38.1205588940999</c:v>
                </c:pt>
                <c:pt idx="49">
                  <c:v>39.08328749999951</c:v>
                </c:pt>
                <c:pt idx="50">
                  <c:v>39.98774191589996</c:v>
                </c:pt>
                <c:pt idx="51">
                  <c:v>40.8390867071997</c:v>
                </c:pt>
                <c:pt idx="52">
                  <c:v>41.64248643929964</c:v>
                </c:pt>
                <c:pt idx="53">
                  <c:v>42.40310567760148</c:v>
                </c:pt>
                <c:pt idx="54">
                  <c:v>43.12610898750121</c:v>
                </c:pt>
                <c:pt idx="55">
                  <c:v>43.81666093440058</c:v>
                </c:pt>
                <c:pt idx="56">
                  <c:v>44.47992608370128</c:v>
                </c:pt>
                <c:pt idx="57">
                  <c:v>45.12106900080012</c:v>
                </c:pt>
                <c:pt idx="58">
                  <c:v>45.74525425110046</c:v>
                </c:pt>
                <c:pt idx="59">
                  <c:v>46.35764639999993</c:v>
                </c:pt>
                <c:pt idx="60">
                  <c:v>46.96341001289943</c:v>
                </c:pt>
                <c:pt idx="61">
                  <c:v>47.56770965519905</c:v>
                </c:pt>
                <c:pt idx="62">
                  <c:v>48.17570989229884</c:v>
                </c:pt>
                <c:pt idx="63">
                  <c:v>48.79257528960056</c:v>
                </c:pt>
                <c:pt idx="64">
                  <c:v>49.42347041249936</c:v>
                </c:pt>
                <c:pt idx="65">
                  <c:v>50.07355982639942</c:v>
                </c:pt>
                <c:pt idx="66">
                  <c:v>50.74800809670082</c:v>
                </c:pt>
                <c:pt idx="67">
                  <c:v>51.45197978880037</c:v>
                </c:pt>
                <c:pt idx="68">
                  <c:v>52.19063946809979</c:v>
                </c:pt>
                <c:pt idx="69">
                  <c:v>52.9691517000008</c:v>
                </c:pt>
                <c:pt idx="70">
                  <c:v>53.79268104989855</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val>
        </c:ser>
        <c:ser>
          <c:idx val="3"/>
          <c:order val="1"/>
          <c:tx>
            <c:strRef>
              <c:f>肥満曲線_データ!$E$58</c:f>
              <c:strCache>
                <c:ptCount val="1"/>
                <c:pt idx="0">
                  <c:v>+20％積み上げ</c:v>
                </c:pt>
              </c:strCache>
            </c:strRef>
          </c:tx>
          <c:spPr>
            <a:solidFill>
              <a:srgbClr val="FFFF00">
                <a:alpha val="50196"/>
              </a:srgbClr>
            </a:solidFill>
            <a:ln w="28575">
              <a:noFill/>
            </a:ln>
          </c:spPr>
          <c:cat>
            <c:numRef>
              <c:f>肥満曲線_データ!$A$59:$A$142</c:f>
              <c:numCache>
                <c:formatCode>General</c:formatCode>
                <c:ptCount val="84"/>
                <c:pt idx="0">
                  <c:v>101.0</c:v>
                </c:pt>
                <c:pt idx="1">
                  <c:v>102.0</c:v>
                </c:pt>
                <c:pt idx="2">
                  <c:v>103.0</c:v>
                </c:pt>
                <c:pt idx="3">
                  <c:v>104.0</c:v>
                </c:pt>
                <c:pt idx="4">
                  <c:v>105.0</c:v>
                </c:pt>
                <c:pt idx="5">
                  <c:v>106.0</c:v>
                </c:pt>
                <c:pt idx="6">
                  <c:v>107.0</c:v>
                </c:pt>
                <c:pt idx="7">
                  <c:v>108.0</c:v>
                </c:pt>
                <c:pt idx="8">
                  <c:v>109.0</c:v>
                </c:pt>
                <c:pt idx="9">
                  <c:v>110.0</c:v>
                </c:pt>
                <c:pt idx="10">
                  <c:v>111.0</c:v>
                </c:pt>
                <c:pt idx="11">
                  <c:v>112.0</c:v>
                </c:pt>
                <c:pt idx="12">
                  <c:v>113.0</c:v>
                </c:pt>
                <c:pt idx="13">
                  <c:v>114.0</c:v>
                </c:pt>
                <c:pt idx="14">
                  <c:v>115.0</c:v>
                </c:pt>
                <c:pt idx="15">
                  <c:v>116.0</c:v>
                </c:pt>
                <c:pt idx="16">
                  <c:v>117.0</c:v>
                </c:pt>
                <c:pt idx="17">
                  <c:v>118.0</c:v>
                </c:pt>
                <c:pt idx="18">
                  <c:v>119.0</c:v>
                </c:pt>
                <c:pt idx="19">
                  <c:v>120.0</c:v>
                </c:pt>
                <c:pt idx="20">
                  <c:v>121.0</c:v>
                </c:pt>
                <c:pt idx="21">
                  <c:v>122.0</c:v>
                </c:pt>
                <c:pt idx="22">
                  <c:v>123.0</c:v>
                </c:pt>
                <c:pt idx="23">
                  <c:v>124.0</c:v>
                </c:pt>
                <c:pt idx="24">
                  <c:v>125.0</c:v>
                </c:pt>
                <c:pt idx="25">
                  <c:v>126.0</c:v>
                </c:pt>
                <c:pt idx="26">
                  <c:v>127.0</c:v>
                </c:pt>
                <c:pt idx="27">
                  <c:v>128.0</c:v>
                </c:pt>
                <c:pt idx="28">
                  <c:v>129.0</c:v>
                </c:pt>
                <c:pt idx="29">
                  <c:v>130.0</c:v>
                </c:pt>
                <c:pt idx="30">
                  <c:v>131.0</c:v>
                </c:pt>
                <c:pt idx="31">
                  <c:v>132.0</c:v>
                </c:pt>
                <c:pt idx="32">
                  <c:v>133.0</c:v>
                </c:pt>
                <c:pt idx="33">
                  <c:v>134.0</c:v>
                </c:pt>
                <c:pt idx="34">
                  <c:v>135.0</c:v>
                </c:pt>
                <c:pt idx="35">
                  <c:v>136.0</c:v>
                </c:pt>
                <c:pt idx="36">
                  <c:v>137.0</c:v>
                </c:pt>
                <c:pt idx="37">
                  <c:v>138.0</c:v>
                </c:pt>
                <c:pt idx="38">
                  <c:v>139.0</c:v>
                </c:pt>
                <c:pt idx="39">
                  <c:v>140.0</c:v>
                </c:pt>
                <c:pt idx="40">
                  <c:v>141.0</c:v>
                </c:pt>
                <c:pt idx="41">
                  <c:v>142.0</c:v>
                </c:pt>
                <c:pt idx="42">
                  <c:v>143.0</c:v>
                </c:pt>
                <c:pt idx="43">
                  <c:v>144.0</c:v>
                </c:pt>
                <c:pt idx="44">
                  <c:v>145.0</c:v>
                </c:pt>
                <c:pt idx="45">
                  <c:v>146.0</c:v>
                </c:pt>
                <c:pt idx="46">
                  <c:v>147.0</c:v>
                </c:pt>
                <c:pt idx="47">
                  <c:v>148.0</c:v>
                </c:pt>
                <c:pt idx="48">
                  <c:v>149.0</c:v>
                </c:pt>
                <c:pt idx="49">
                  <c:v>150.0</c:v>
                </c:pt>
                <c:pt idx="50">
                  <c:v>151.0</c:v>
                </c:pt>
                <c:pt idx="51">
                  <c:v>152.0</c:v>
                </c:pt>
                <c:pt idx="52">
                  <c:v>153.0</c:v>
                </c:pt>
                <c:pt idx="53">
                  <c:v>154.0</c:v>
                </c:pt>
                <c:pt idx="54">
                  <c:v>155.0</c:v>
                </c:pt>
                <c:pt idx="55">
                  <c:v>156.0</c:v>
                </c:pt>
                <c:pt idx="56">
                  <c:v>157.0</c:v>
                </c:pt>
                <c:pt idx="57">
                  <c:v>158.0</c:v>
                </c:pt>
                <c:pt idx="58">
                  <c:v>159.0</c:v>
                </c:pt>
                <c:pt idx="59">
                  <c:v>160.0</c:v>
                </c:pt>
                <c:pt idx="60">
                  <c:v>161.0</c:v>
                </c:pt>
                <c:pt idx="61">
                  <c:v>162.0</c:v>
                </c:pt>
                <c:pt idx="62">
                  <c:v>163.0</c:v>
                </c:pt>
                <c:pt idx="63">
                  <c:v>164.0</c:v>
                </c:pt>
                <c:pt idx="64">
                  <c:v>165.0</c:v>
                </c:pt>
                <c:pt idx="65">
                  <c:v>166.0</c:v>
                </c:pt>
                <c:pt idx="66">
                  <c:v>167.0</c:v>
                </c:pt>
                <c:pt idx="67">
                  <c:v>168.0</c:v>
                </c:pt>
                <c:pt idx="68">
                  <c:v>169.0</c:v>
                </c:pt>
                <c:pt idx="69">
                  <c:v>170.0</c:v>
                </c:pt>
                <c:pt idx="70">
                  <c:v>171.0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cat>
          <c:val>
            <c:numRef>
              <c:f>肥満曲線_データ!$E$59:$E$142</c:f>
              <c:numCache>
                <c:formatCode>General</c:formatCode>
                <c:ptCount val="84"/>
                <c:pt idx="0">
                  <c:v>4.397040665700021</c:v>
                </c:pt>
                <c:pt idx="1">
                  <c:v>4.512917925600001</c:v>
                </c:pt>
                <c:pt idx="2">
                  <c:v>4.627361673899989</c:v>
                </c:pt>
                <c:pt idx="3">
                  <c:v>4.740601804799994</c:v>
                </c:pt>
                <c:pt idx="4">
                  <c:v>4.85286821249999</c:v>
                </c:pt>
                <c:pt idx="5">
                  <c:v>4.964390791199989</c:v>
                </c:pt>
                <c:pt idx="6">
                  <c:v>5.075399435099981</c:v>
                </c:pt>
                <c:pt idx="7">
                  <c:v>5.186124038399996</c:v>
                </c:pt>
                <c:pt idx="8">
                  <c:v>5.296794495299988</c:v>
                </c:pt>
                <c:pt idx="9">
                  <c:v>5.407640700000004</c:v>
                </c:pt>
                <c:pt idx="10">
                  <c:v>5.518892546700002</c:v>
                </c:pt>
                <c:pt idx="11">
                  <c:v>5.630779929599989</c:v>
                </c:pt>
                <c:pt idx="12">
                  <c:v>5.74353274290003</c:v>
                </c:pt>
                <c:pt idx="13">
                  <c:v>5.857380880799994</c:v>
                </c:pt>
                <c:pt idx="14">
                  <c:v>5.972554237499961</c:v>
                </c:pt>
                <c:pt idx="15">
                  <c:v>6.089282707200024</c:v>
                </c:pt>
                <c:pt idx="16">
                  <c:v>6.207796184100007</c:v>
                </c:pt>
                <c:pt idx="17">
                  <c:v>6.32832456239997</c:v>
                </c:pt>
                <c:pt idx="18">
                  <c:v>6.451097736300007</c:v>
                </c:pt>
                <c:pt idx="19">
                  <c:v>6.576345599999975</c:v>
                </c:pt>
                <c:pt idx="20">
                  <c:v>6.704298047700004</c:v>
                </c:pt>
                <c:pt idx="21">
                  <c:v>6.835184973600016</c:v>
                </c:pt>
                <c:pt idx="22">
                  <c:v>6.96923627189997</c:v>
                </c:pt>
                <c:pt idx="23">
                  <c:v>7.106681836800012</c:v>
                </c:pt>
                <c:pt idx="24">
                  <c:v>7.247751562500016</c:v>
                </c:pt>
                <c:pt idx="25">
                  <c:v>7.392675343199974</c:v>
                </c:pt>
                <c:pt idx="26">
                  <c:v>7.541683073099997</c:v>
                </c:pt>
                <c:pt idx="27">
                  <c:v>7.695004646399994</c:v>
                </c:pt>
                <c:pt idx="28">
                  <c:v>7.85286995729999</c:v>
                </c:pt>
                <c:pt idx="29">
                  <c:v>8.015508899999995</c:v>
                </c:pt>
                <c:pt idx="30">
                  <c:v>8.183151368700001</c:v>
                </c:pt>
                <c:pt idx="31">
                  <c:v>8.356027257599984</c:v>
                </c:pt>
                <c:pt idx="32">
                  <c:v>8.534366460900005</c:v>
                </c:pt>
                <c:pt idx="33">
                  <c:v>8.718398872799989</c:v>
                </c:pt>
                <c:pt idx="34">
                  <c:v>8.908354387499993</c:v>
                </c:pt>
                <c:pt idx="35">
                  <c:v>9.104462899199997</c:v>
                </c:pt>
                <c:pt idx="36">
                  <c:v>9.306954302099976</c:v>
                </c:pt>
                <c:pt idx="37">
                  <c:v>9.516058490400004</c:v>
                </c:pt>
                <c:pt idx="38">
                  <c:v>9.73200535829999</c:v>
                </c:pt>
                <c:pt idx="39">
                  <c:v>9.948648000000229</c:v>
                </c:pt>
                <c:pt idx="40">
                  <c:v>10.16616874200035</c:v>
                </c:pt>
                <c:pt idx="41">
                  <c:v>10.41233457599983</c:v>
                </c:pt>
                <c:pt idx="42">
                  <c:v>10.68392771399949</c:v>
                </c:pt>
                <c:pt idx="43">
                  <c:v>10.97773036800018</c:v>
                </c:pt>
                <c:pt idx="44">
                  <c:v>11.29052475000053</c:v>
                </c:pt>
                <c:pt idx="45">
                  <c:v>11.61909307199921</c:v>
                </c:pt>
                <c:pt idx="46">
                  <c:v>11.96021754600033</c:v>
                </c:pt>
                <c:pt idx="47">
                  <c:v>12.31068038400035</c:v>
                </c:pt>
                <c:pt idx="48">
                  <c:v>12.70685296469996</c:v>
                </c:pt>
                <c:pt idx="49">
                  <c:v>13.02776249999983</c:v>
                </c:pt>
                <c:pt idx="50">
                  <c:v>13.32924730529999</c:v>
                </c:pt>
                <c:pt idx="51">
                  <c:v>13.6130289023999</c:v>
                </c:pt>
                <c:pt idx="52">
                  <c:v>13.88082881309988</c:v>
                </c:pt>
                <c:pt idx="53">
                  <c:v>14.13436855920049</c:v>
                </c:pt>
                <c:pt idx="54">
                  <c:v>14.37536966250041</c:v>
                </c:pt>
                <c:pt idx="55">
                  <c:v>14.60555364480019</c:v>
                </c:pt>
                <c:pt idx="56">
                  <c:v>14.82664202790042</c:v>
                </c:pt>
                <c:pt idx="57">
                  <c:v>15.04035633360004</c:v>
                </c:pt>
                <c:pt idx="58">
                  <c:v>15.24841808370015</c:v>
                </c:pt>
                <c:pt idx="59">
                  <c:v>15.45254879999998</c:v>
                </c:pt>
                <c:pt idx="60">
                  <c:v>15.65447000429981</c:v>
                </c:pt>
                <c:pt idx="61">
                  <c:v>15.85590321839968</c:v>
                </c:pt>
                <c:pt idx="62">
                  <c:v>16.05856996409961</c:v>
                </c:pt>
                <c:pt idx="63">
                  <c:v>16.26419176320019</c:v>
                </c:pt>
                <c:pt idx="64">
                  <c:v>16.47449013749979</c:v>
                </c:pt>
                <c:pt idx="65">
                  <c:v>16.69118660879981</c:v>
                </c:pt>
                <c:pt idx="66">
                  <c:v>16.91600269890028</c:v>
                </c:pt>
                <c:pt idx="67">
                  <c:v>17.15065992960012</c:v>
                </c:pt>
                <c:pt idx="68">
                  <c:v>17.39687982269993</c:v>
                </c:pt>
                <c:pt idx="69">
                  <c:v>17.65638390000026</c:v>
                </c:pt>
                <c:pt idx="70">
                  <c:v>17.93089368329952</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val>
        </c:ser>
        <c:dLbls>
          <c:showLegendKey val="0"/>
          <c:showVal val="0"/>
          <c:showCatName val="0"/>
          <c:showSerName val="0"/>
          <c:showPercent val="0"/>
          <c:showBubbleSize val="0"/>
        </c:dLbls>
        <c:axId val="-884032192"/>
        <c:axId val="-884024896"/>
      </c:areaChart>
      <c:lineChart>
        <c:grouping val="standard"/>
        <c:varyColors val="0"/>
        <c:ser>
          <c:idx val="4"/>
          <c:order val="2"/>
          <c:tx>
            <c:strRef>
              <c:f>肥満曲線_データ!$F$58</c:f>
              <c:strCache>
                <c:ptCount val="1"/>
                <c:pt idx="0">
                  <c:v>-20％</c:v>
                </c:pt>
              </c:strCache>
            </c:strRef>
          </c:tx>
          <c:spPr>
            <a:ln w="19050">
              <a:solidFill>
                <a:srgbClr val="000000"/>
              </a:solidFill>
            </a:ln>
          </c:spPr>
          <c:marker>
            <c:symbol val="none"/>
          </c:marker>
          <c:dLbls>
            <c:dLbl>
              <c:idx val="50"/>
              <c:layout>
                <c:manualLayout>
                  <c:x val="0.171413943963511"/>
                  <c:y val="-0.0784250681922435"/>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肥満曲線_データ!$A$3:$A$55</c:f>
              <c:numCache>
                <c:formatCode>General</c:formatCode>
                <c:ptCount val="53"/>
                <c:pt idx="0">
                  <c:v>69.0</c:v>
                </c:pt>
                <c:pt idx="1">
                  <c:v>70.0</c:v>
                </c:pt>
                <c:pt idx="2">
                  <c:v>71.0</c:v>
                </c:pt>
                <c:pt idx="3">
                  <c:v>72.0</c:v>
                </c:pt>
                <c:pt idx="4">
                  <c:v>73.0</c:v>
                </c:pt>
                <c:pt idx="5">
                  <c:v>74.0</c:v>
                </c:pt>
                <c:pt idx="6">
                  <c:v>75.0</c:v>
                </c:pt>
                <c:pt idx="7">
                  <c:v>76.0</c:v>
                </c:pt>
                <c:pt idx="8">
                  <c:v>77.0</c:v>
                </c:pt>
                <c:pt idx="9">
                  <c:v>78.0</c:v>
                </c:pt>
                <c:pt idx="10">
                  <c:v>79.0</c:v>
                </c:pt>
                <c:pt idx="11">
                  <c:v>80.0</c:v>
                </c:pt>
                <c:pt idx="12">
                  <c:v>81.0</c:v>
                </c:pt>
                <c:pt idx="13">
                  <c:v>82.0</c:v>
                </c:pt>
                <c:pt idx="14">
                  <c:v>83.0</c:v>
                </c:pt>
                <c:pt idx="15">
                  <c:v>84.0</c:v>
                </c:pt>
                <c:pt idx="16">
                  <c:v>85.0</c:v>
                </c:pt>
                <c:pt idx="17">
                  <c:v>86.0</c:v>
                </c:pt>
                <c:pt idx="18">
                  <c:v>87.0</c:v>
                </c:pt>
                <c:pt idx="19">
                  <c:v>88.0</c:v>
                </c:pt>
                <c:pt idx="20">
                  <c:v>89.0</c:v>
                </c:pt>
                <c:pt idx="21">
                  <c:v>90.0</c:v>
                </c:pt>
                <c:pt idx="22">
                  <c:v>91.0</c:v>
                </c:pt>
                <c:pt idx="23">
                  <c:v>92.0</c:v>
                </c:pt>
                <c:pt idx="24">
                  <c:v>93.0</c:v>
                </c:pt>
                <c:pt idx="25">
                  <c:v>94.0</c:v>
                </c:pt>
                <c:pt idx="26">
                  <c:v>95.0</c:v>
                </c:pt>
                <c:pt idx="27">
                  <c:v>96.0</c:v>
                </c:pt>
                <c:pt idx="28">
                  <c:v>97.0</c:v>
                </c:pt>
                <c:pt idx="29">
                  <c:v>98.0</c:v>
                </c:pt>
                <c:pt idx="30">
                  <c:v>99.0</c:v>
                </c:pt>
                <c:pt idx="31">
                  <c:v>100.0</c:v>
                </c:pt>
                <c:pt idx="32">
                  <c:v>101.0</c:v>
                </c:pt>
                <c:pt idx="33">
                  <c:v>102.0</c:v>
                </c:pt>
                <c:pt idx="34">
                  <c:v>103.0</c:v>
                </c:pt>
                <c:pt idx="35">
                  <c:v>104.0</c:v>
                </c:pt>
                <c:pt idx="36">
                  <c:v>105.0</c:v>
                </c:pt>
                <c:pt idx="37">
                  <c:v>106.0</c:v>
                </c:pt>
                <c:pt idx="38">
                  <c:v>107.0</c:v>
                </c:pt>
                <c:pt idx="39">
                  <c:v>108.0</c:v>
                </c:pt>
                <c:pt idx="40">
                  <c:v>109.0</c:v>
                </c:pt>
                <c:pt idx="41">
                  <c:v>110.0</c:v>
                </c:pt>
                <c:pt idx="42">
                  <c:v>111.0</c:v>
                </c:pt>
                <c:pt idx="43">
                  <c:v>112.0</c:v>
                </c:pt>
                <c:pt idx="44">
                  <c:v>113.0</c:v>
                </c:pt>
                <c:pt idx="45">
                  <c:v>114.0</c:v>
                </c:pt>
                <c:pt idx="46">
                  <c:v>115.0</c:v>
                </c:pt>
                <c:pt idx="47">
                  <c:v>116.0</c:v>
                </c:pt>
                <c:pt idx="48">
                  <c:v>117.0</c:v>
                </c:pt>
                <c:pt idx="49">
                  <c:v>118.0</c:v>
                </c:pt>
                <c:pt idx="50">
                  <c:v>119.0</c:v>
                </c:pt>
                <c:pt idx="51">
                  <c:v>120.0</c:v>
                </c:pt>
              </c:numCache>
            </c:numRef>
          </c:cat>
          <c:val>
            <c:numRef>
              <c:f>肥満曲線_データ!$F$59:$F$142</c:f>
              <c:numCache>
                <c:formatCode>General</c:formatCode>
                <c:ptCount val="84"/>
                <c:pt idx="0">
                  <c:v>11.72544177520006</c:v>
                </c:pt>
                <c:pt idx="1">
                  <c:v>12.0344478016</c:v>
                </c:pt>
                <c:pt idx="2">
                  <c:v>12.33963113039997</c:v>
                </c:pt>
                <c:pt idx="3">
                  <c:v>12.64160481279998</c:v>
                </c:pt>
                <c:pt idx="4">
                  <c:v>12.94098189999998</c:v>
                </c:pt>
                <c:pt idx="5">
                  <c:v>13.23837544319997</c:v>
                </c:pt>
                <c:pt idx="6">
                  <c:v>13.53439849359995</c:v>
                </c:pt>
                <c:pt idx="7">
                  <c:v>13.82966410239999</c:v>
                </c:pt>
                <c:pt idx="8">
                  <c:v>14.12478532079997</c:v>
                </c:pt>
                <c:pt idx="9">
                  <c:v>14.42037520000001</c:v>
                </c:pt>
                <c:pt idx="10">
                  <c:v>14.7170467912</c:v>
                </c:pt>
                <c:pt idx="11">
                  <c:v>15.01541314559997</c:v>
                </c:pt>
                <c:pt idx="12">
                  <c:v>15.31608731440008</c:v>
                </c:pt>
                <c:pt idx="13">
                  <c:v>15.61968234879998</c:v>
                </c:pt>
                <c:pt idx="14">
                  <c:v>15.9268112999999</c:v>
                </c:pt>
                <c:pt idx="15">
                  <c:v>16.23808721920006</c:v>
                </c:pt>
                <c:pt idx="16">
                  <c:v>16.55412315760002</c:v>
                </c:pt>
                <c:pt idx="17">
                  <c:v>16.87553216639992</c:v>
                </c:pt>
                <c:pt idx="18">
                  <c:v>17.20292729680002</c:v>
                </c:pt>
                <c:pt idx="19">
                  <c:v>17.53692159999994</c:v>
                </c:pt>
                <c:pt idx="20">
                  <c:v>17.87812812720001</c:v>
                </c:pt>
                <c:pt idx="21">
                  <c:v>18.22715992960005</c:v>
                </c:pt>
                <c:pt idx="22">
                  <c:v>18.58463005839992</c:v>
                </c:pt>
                <c:pt idx="23">
                  <c:v>18.95115156480004</c:v>
                </c:pt>
                <c:pt idx="24">
                  <c:v>19.32733750000004</c:v>
                </c:pt>
                <c:pt idx="25">
                  <c:v>19.71380091519993</c:v>
                </c:pt>
                <c:pt idx="26">
                  <c:v>20.1111548616</c:v>
                </c:pt>
                <c:pt idx="27">
                  <c:v>20.52001239039998</c:v>
                </c:pt>
                <c:pt idx="28">
                  <c:v>20.94098655279997</c:v>
                </c:pt>
                <c:pt idx="29">
                  <c:v>21.37469039999999</c:v>
                </c:pt>
                <c:pt idx="30">
                  <c:v>21.8217369832</c:v>
                </c:pt>
                <c:pt idx="31">
                  <c:v>22.28273935359996</c:v>
                </c:pt>
                <c:pt idx="32">
                  <c:v>22.75831056240002</c:v>
                </c:pt>
                <c:pt idx="33">
                  <c:v>23.24906366079997</c:v>
                </c:pt>
                <c:pt idx="34">
                  <c:v>23.75561169999999</c:v>
                </c:pt>
                <c:pt idx="35">
                  <c:v>24.2785677312</c:v>
                </c:pt>
                <c:pt idx="36">
                  <c:v>24.81854480559994</c:v>
                </c:pt>
                <c:pt idx="37">
                  <c:v>25.37615597440001</c:v>
                </c:pt>
                <c:pt idx="38">
                  <c:v>25.95201428879998</c:v>
                </c:pt>
                <c:pt idx="39">
                  <c:v>26.52972800000062</c:v>
                </c:pt>
                <c:pt idx="40">
                  <c:v>27.10978331200095</c:v>
                </c:pt>
                <c:pt idx="41">
                  <c:v>27.76622553599955</c:v>
                </c:pt>
                <c:pt idx="42">
                  <c:v>28.49047390399865</c:v>
                </c:pt>
                <c:pt idx="43">
                  <c:v>29.27394764800047</c:v>
                </c:pt>
                <c:pt idx="44">
                  <c:v>30.10806600000142</c:v>
                </c:pt>
                <c:pt idx="45">
                  <c:v>30.98424819199791</c:v>
                </c:pt>
                <c:pt idx="46">
                  <c:v>31.89391345600088</c:v>
                </c:pt>
                <c:pt idx="47">
                  <c:v>32.82848102400094</c:v>
                </c:pt>
                <c:pt idx="48">
                  <c:v>33.88494123919991</c:v>
                </c:pt>
                <c:pt idx="49">
                  <c:v>34.74069999999956</c:v>
                </c:pt>
                <c:pt idx="50">
                  <c:v>35.54465948079996</c:v>
                </c:pt>
                <c:pt idx="51">
                  <c:v>36.30141040639974</c:v>
                </c:pt>
                <c:pt idx="52">
                  <c:v>37.01554350159968</c:v>
                </c:pt>
                <c:pt idx="53">
                  <c:v>37.69164949120132</c:v>
                </c:pt>
                <c:pt idx="54">
                  <c:v>38.33431910000109</c:v>
                </c:pt>
                <c:pt idx="55">
                  <c:v>38.94814305280052</c:v>
                </c:pt>
                <c:pt idx="56">
                  <c:v>39.53771207440113</c:v>
                </c:pt>
                <c:pt idx="57">
                  <c:v>40.10761688960011</c:v>
                </c:pt>
                <c:pt idx="58">
                  <c:v>40.66244822320041</c:v>
                </c:pt>
                <c:pt idx="59">
                  <c:v>41.20679679999994</c:v>
                </c:pt>
                <c:pt idx="60">
                  <c:v>41.7452533447995</c:v>
                </c:pt>
                <c:pt idx="61">
                  <c:v>42.28240858239915</c:v>
                </c:pt>
                <c:pt idx="62">
                  <c:v>42.82285323759897</c:v>
                </c:pt>
                <c:pt idx="63">
                  <c:v>43.3711780352005</c:v>
                </c:pt>
                <c:pt idx="64">
                  <c:v>43.93197369999944</c:v>
                </c:pt>
                <c:pt idx="65">
                  <c:v>44.5098309567995</c:v>
                </c:pt>
                <c:pt idx="66">
                  <c:v>45.10934053040073</c:v>
                </c:pt>
                <c:pt idx="67">
                  <c:v>45.73509314560033</c:v>
                </c:pt>
                <c:pt idx="68">
                  <c:v>46.39167952719981</c:v>
                </c:pt>
                <c:pt idx="69">
                  <c:v>47.08369040000071</c:v>
                </c:pt>
                <c:pt idx="70">
                  <c:v>47.81571648879872</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val>
          <c:smooth val="0"/>
        </c:ser>
        <c:ser>
          <c:idx val="5"/>
          <c:order val="3"/>
          <c:tx>
            <c:strRef>
              <c:f>肥満曲線_データ!$G$58</c:f>
              <c:strCache>
                <c:ptCount val="1"/>
                <c:pt idx="0">
                  <c:v>-10％</c:v>
                </c:pt>
              </c:strCache>
            </c:strRef>
          </c:tx>
          <c:spPr>
            <a:ln w="19050">
              <a:solidFill>
                <a:srgbClr val="000000"/>
              </a:solidFill>
            </a:ln>
          </c:spPr>
          <c:marker>
            <c:symbol val="none"/>
          </c:marker>
          <c:dLbls>
            <c:dLbl>
              <c:idx val="50"/>
              <c:layout>
                <c:manualLayout>
                  <c:x val="0.175354494399454"/>
                  <c:y val="-0.109795095469141"/>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肥満曲線_データ!$A$3:$A$55</c:f>
              <c:numCache>
                <c:formatCode>General</c:formatCode>
                <c:ptCount val="53"/>
                <c:pt idx="0">
                  <c:v>69.0</c:v>
                </c:pt>
                <c:pt idx="1">
                  <c:v>70.0</c:v>
                </c:pt>
                <c:pt idx="2">
                  <c:v>71.0</c:v>
                </c:pt>
                <c:pt idx="3">
                  <c:v>72.0</c:v>
                </c:pt>
                <c:pt idx="4">
                  <c:v>73.0</c:v>
                </c:pt>
                <c:pt idx="5">
                  <c:v>74.0</c:v>
                </c:pt>
                <c:pt idx="6">
                  <c:v>75.0</c:v>
                </c:pt>
                <c:pt idx="7">
                  <c:v>76.0</c:v>
                </c:pt>
                <c:pt idx="8">
                  <c:v>77.0</c:v>
                </c:pt>
                <c:pt idx="9">
                  <c:v>78.0</c:v>
                </c:pt>
                <c:pt idx="10">
                  <c:v>79.0</c:v>
                </c:pt>
                <c:pt idx="11">
                  <c:v>80.0</c:v>
                </c:pt>
                <c:pt idx="12">
                  <c:v>81.0</c:v>
                </c:pt>
                <c:pt idx="13">
                  <c:v>82.0</c:v>
                </c:pt>
                <c:pt idx="14">
                  <c:v>83.0</c:v>
                </c:pt>
                <c:pt idx="15">
                  <c:v>84.0</c:v>
                </c:pt>
                <c:pt idx="16">
                  <c:v>85.0</c:v>
                </c:pt>
                <c:pt idx="17">
                  <c:v>86.0</c:v>
                </c:pt>
                <c:pt idx="18">
                  <c:v>87.0</c:v>
                </c:pt>
                <c:pt idx="19">
                  <c:v>88.0</c:v>
                </c:pt>
                <c:pt idx="20">
                  <c:v>89.0</c:v>
                </c:pt>
                <c:pt idx="21">
                  <c:v>90.0</c:v>
                </c:pt>
                <c:pt idx="22">
                  <c:v>91.0</c:v>
                </c:pt>
                <c:pt idx="23">
                  <c:v>92.0</c:v>
                </c:pt>
                <c:pt idx="24">
                  <c:v>93.0</c:v>
                </c:pt>
                <c:pt idx="25">
                  <c:v>94.0</c:v>
                </c:pt>
                <c:pt idx="26">
                  <c:v>95.0</c:v>
                </c:pt>
                <c:pt idx="27">
                  <c:v>96.0</c:v>
                </c:pt>
                <c:pt idx="28">
                  <c:v>97.0</c:v>
                </c:pt>
                <c:pt idx="29">
                  <c:v>98.0</c:v>
                </c:pt>
                <c:pt idx="30">
                  <c:v>99.0</c:v>
                </c:pt>
                <c:pt idx="31">
                  <c:v>100.0</c:v>
                </c:pt>
                <c:pt idx="32">
                  <c:v>101.0</c:v>
                </c:pt>
                <c:pt idx="33">
                  <c:v>102.0</c:v>
                </c:pt>
                <c:pt idx="34">
                  <c:v>103.0</c:v>
                </c:pt>
                <c:pt idx="35">
                  <c:v>104.0</c:v>
                </c:pt>
                <c:pt idx="36">
                  <c:v>105.0</c:v>
                </c:pt>
                <c:pt idx="37">
                  <c:v>106.0</c:v>
                </c:pt>
                <c:pt idx="38">
                  <c:v>107.0</c:v>
                </c:pt>
                <c:pt idx="39">
                  <c:v>108.0</c:v>
                </c:pt>
                <c:pt idx="40">
                  <c:v>109.0</c:v>
                </c:pt>
                <c:pt idx="41">
                  <c:v>110.0</c:v>
                </c:pt>
                <c:pt idx="42">
                  <c:v>111.0</c:v>
                </c:pt>
                <c:pt idx="43">
                  <c:v>112.0</c:v>
                </c:pt>
                <c:pt idx="44">
                  <c:v>113.0</c:v>
                </c:pt>
                <c:pt idx="45">
                  <c:v>114.0</c:v>
                </c:pt>
                <c:pt idx="46">
                  <c:v>115.0</c:v>
                </c:pt>
                <c:pt idx="47">
                  <c:v>116.0</c:v>
                </c:pt>
                <c:pt idx="48">
                  <c:v>117.0</c:v>
                </c:pt>
                <c:pt idx="49">
                  <c:v>118.0</c:v>
                </c:pt>
                <c:pt idx="50">
                  <c:v>119.0</c:v>
                </c:pt>
                <c:pt idx="51">
                  <c:v>120.0</c:v>
                </c:pt>
              </c:numCache>
            </c:numRef>
          </c:cat>
          <c:val>
            <c:numRef>
              <c:f>肥満曲線_データ!$G$59:$G$142</c:f>
              <c:numCache>
                <c:formatCode>General</c:formatCode>
                <c:ptCount val="84"/>
                <c:pt idx="0">
                  <c:v>13.19112199710006</c:v>
                </c:pt>
                <c:pt idx="1">
                  <c:v>13.53875377680001</c:v>
                </c:pt>
                <c:pt idx="2">
                  <c:v>13.88208502169997</c:v>
                </c:pt>
                <c:pt idx="3">
                  <c:v>14.22180541439998</c:v>
                </c:pt>
                <c:pt idx="4">
                  <c:v>14.55860463749997</c:v>
                </c:pt>
                <c:pt idx="5">
                  <c:v>14.89317237359997</c:v>
                </c:pt>
                <c:pt idx="6">
                  <c:v>15.22619830529995</c:v>
                </c:pt>
                <c:pt idx="7">
                  <c:v>15.55837211519999</c:v>
                </c:pt>
                <c:pt idx="8">
                  <c:v>15.89038348589997</c:v>
                </c:pt>
                <c:pt idx="9">
                  <c:v>16.22292210000002</c:v>
                </c:pt>
                <c:pt idx="10">
                  <c:v>16.55667764010001</c:v>
                </c:pt>
                <c:pt idx="11">
                  <c:v>16.89233978879997</c:v>
                </c:pt>
                <c:pt idx="12">
                  <c:v>17.23059822870009</c:v>
                </c:pt>
                <c:pt idx="13">
                  <c:v>17.57214264239998</c:v>
                </c:pt>
                <c:pt idx="14">
                  <c:v>17.91766271249988</c:v>
                </c:pt>
                <c:pt idx="15">
                  <c:v>18.26784812160007</c:v>
                </c:pt>
                <c:pt idx="16">
                  <c:v>18.62338855230002</c:v>
                </c:pt>
                <c:pt idx="17">
                  <c:v>18.98497368719991</c:v>
                </c:pt>
                <c:pt idx="18">
                  <c:v>19.35329320890002</c:v>
                </c:pt>
                <c:pt idx="19">
                  <c:v>19.72903679999993</c:v>
                </c:pt>
                <c:pt idx="20">
                  <c:v>20.11289414310001</c:v>
                </c:pt>
                <c:pt idx="21">
                  <c:v>20.50555492080005</c:v>
                </c:pt>
                <c:pt idx="22">
                  <c:v>20.90770881569991</c:v>
                </c:pt>
                <c:pt idx="23">
                  <c:v>21.32004551040004</c:v>
                </c:pt>
                <c:pt idx="24">
                  <c:v>21.74325468750005</c:v>
                </c:pt>
                <c:pt idx="25">
                  <c:v>22.17802602959992</c:v>
                </c:pt>
                <c:pt idx="26">
                  <c:v>22.62504921929999</c:v>
                </c:pt>
                <c:pt idx="27">
                  <c:v>23.08501393919998</c:v>
                </c:pt>
                <c:pt idx="28">
                  <c:v>23.55860987189997</c:v>
                </c:pt>
                <c:pt idx="29">
                  <c:v>24.04652669999998</c:v>
                </c:pt>
                <c:pt idx="30">
                  <c:v>24.5494541061</c:v>
                </c:pt>
                <c:pt idx="31">
                  <c:v>25.06808177279995</c:v>
                </c:pt>
                <c:pt idx="32">
                  <c:v>25.60309938270002</c:v>
                </c:pt>
                <c:pt idx="33">
                  <c:v>26.15519661839997</c:v>
                </c:pt>
                <c:pt idx="34">
                  <c:v>26.72506316249999</c:v>
                </c:pt>
                <c:pt idx="35">
                  <c:v>27.3133886976</c:v>
                </c:pt>
                <c:pt idx="36">
                  <c:v>27.92086290629993</c:v>
                </c:pt>
                <c:pt idx="37">
                  <c:v>28.54817547120001</c:v>
                </c:pt>
                <c:pt idx="38">
                  <c:v>29.19601607489998</c:v>
                </c:pt>
                <c:pt idx="39">
                  <c:v>29.84594400000069</c:v>
                </c:pt>
                <c:pt idx="40">
                  <c:v>30.49850622600107</c:v>
                </c:pt>
                <c:pt idx="41">
                  <c:v>31.23700372799949</c:v>
                </c:pt>
                <c:pt idx="42">
                  <c:v>32.05178314199848</c:v>
                </c:pt>
                <c:pt idx="43">
                  <c:v>32.93319110400053</c:v>
                </c:pt>
                <c:pt idx="44">
                  <c:v>33.87157425000159</c:v>
                </c:pt>
                <c:pt idx="45">
                  <c:v>34.85727921599764</c:v>
                </c:pt>
                <c:pt idx="46">
                  <c:v>35.880652638001</c:v>
                </c:pt>
                <c:pt idx="47">
                  <c:v>36.93204115200106</c:v>
                </c:pt>
                <c:pt idx="48">
                  <c:v>38.1205588940999</c:v>
                </c:pt>
                <c:pt idx="49">
                  <c:v>39.08328749999951</c:v>
                </c:pt>
                <c:pt idx="50">
                  <c:v>39.98774191589996</c:v>
                </c:pt>
                <c:pt idx="51">
                  <c:v>40.8390867071997</c:v>
                </c:pt>
                <c:pt idx="52">
                  <c:v>41.64248643929964</c:v>
                </c:pt>
                <c:pt idx="53">
                  <c:v>42.40310567760148</c:v>
                </c:pt>
                <c:pt idx="54">
                  <c:v>43.12610898750121</c:v>
                </c:pt>
                <c:pt idx="55">
                  <c:v>43.81666093440058</c:v>
                </c:pt>
                <c:pt idx="56">
                  <c:v>44.47992608370128</c:v>
                </c:pt>
                <c:pt idx="57">
                  <c:v>45.12106900080012</c:v>
                </c:pt>
                <c:pt idx="58">
                  <c:v>45.74525425110046</c:v>
                </c:pt>
                <c:pt idx="59">
                  <c:v>46.35764639999993</c:v>
                </c:pt>
                <c:pt idx="60">
                  <c:v>46.96341001289943</c:v>
                </c:pt>
                <c:pt idx="61">
                  <c:v>47.56770965519905</c:v>
                </c:pt>
                <c:pt idx="62">
                  <c:v>48.17570989229884</c:v>
                </c:pt>
                <c:pt idx="63">
                  <c:v>48.79257528960056</c:v>
                </c:pt>
                <c:pt idx="64">
                  <c:v>49.42347041249936</c:v>
                </c:pt>
                <c:pt idx="65">
                  <c:v>50.07355982639942</c:v>
                </c:pt>
                <c:pt idx="66">
                  <c:v>50.74800809670082</c:v>
                </c:pt>
                <c:pt idx="67">
                  <c:v>51.45197978880037</c:v>
                </c:pt>
                <c:pt idx="68">
                  <c:v>52.19063946809979</c:v>
                </c:pt>
                <c:pt idx="69">
                  <c:v>52.9691517000008</c:v>
                </c:pt>
                <c:pt idx="70">
                  <c:v>53.79268104989855</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val>
          <c:smooth val="0"/>
        </c:ser>
        <c:ser>
          <c:idx val="6"/>
          <c:order val="4"/>
          <c:tx>
            <c:strRef>
              <c:f>肥満曲線_データ!$H$58</c:f>
              <c:strCache>
                <c:ptCount val="1"/>
                <c:pt idx="0">
                  <c:v>0％</c:v>
                </c:pt>
              </c:strCache>
            </c:strRef>
          </c:tx>
          <c:spPr>
            <a:ln w="28575">
              <a:solidFill>
                <a:srgbClr val="000000"/>
              </a:solidFill>
            </a:ln>
          </c:spPr>
          <c:marker>
            <c:symbol val="none"/>
          </c:marker>
          <c:dLbls>
            <c:dLbl>
              <c:idx val="50"/>
              <c:layout>
                <c:manualLayout>
                  <c:x val="0.181265320053368"/>
                  <c:y val="-0.122865940167848"/>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肥満曲線_データ!$A$3:$A$55</c:f>
              <c:numCache>
                <c:formatCode>General</c:formatCode>
                <c:ptCount val="53"/>
                <c:pt idx="0">
                  <c:v>69.0</c:v>
                </c:pt>
                <c:pt idx="1">
                  <c:v>70.0</c:v>
                </c:pt>
                <c:pt idx="2">
                  <c:v>71.0</c:v>
                </c:pt>
                <c:pt idx="3">
                  <c:v>72.0</c:v>
                </c:pt>
                <c:pt idx="4">
                  <c:v>73.0</c:v>
                </c:pt>
                <c:pt idx="5">
                  <c:v>74.0</c:v>
                </c:pt>
                <c:pt idx="6">
                  <c:v>75.0</c:v>
                </c:pt>
                <c:pt idx="7">
                  <c:v>76.0</c:v>
                </c:pt>
                <c:pt idx="8">
                  <c:v>77.0</c:v>
                </c:pt>
                <c:pt idx="9">
                  <c:v>78.0</c:v>
                </c:pt>
                <c:pt idx="10">
                  <c:v>79.0</c:v>
                </c:pt>
                <c:pt idx="11">
                  <c:v>80.0</c:v>
                </c:pt>
                <c:pt idx="12">
                  <c:v>81.0</c:v>
                </c:pt>
                <c:pt idx="13">
                  <c:v>82.0</c:v>
                </c:pt>
                <c:pt idx="14">
                  <c:v>83.0</c:v>
                </c:pt>
                <c:pt idx="15">
                  <c:v>84.0</c:v>
                </c:pt>
                <c:pt idx="16">
                  <c:v>85.0</c:v>
                </c:pt>
                <c:pt idx="17">
                  <c:v>86.0</c:v>
                </c:pt>
                <c:pt idx="18">
                  <c:v>87.0</c:v>
                </c:pt>
                <c:pt idx="19">
                  <c:v>88.0</c:v>
                </c:pt>
                <c:pt idx="20">
                  <c:v>89.0</c:v>
                </c:pt>
                <c:pt idx="21">
                  <c:v>90.0</c:v>
                </c:pt>
                <c:pt idx="22">
                  <c:v>91.0</c:v>
                </c:pt>
                <c:pt idx="23">
                  <c:v>92.0</c:v>
                </c:pt>
                <c:pt idx="24">
                  <c:v>93.0</c:v>
                </c:pt>
                <c:pt idx="25">
                  <c:v>94.0</c:v>
                </c:pt>
                <c:pt idx="26">
                  <c:v>95.0</c:v>
                </c:pt>
                <c:pt idx="27">
                  <c:v>96.0</c:v>
                </c:pt>
                <c:pt idx="28">
                  <c:v>97.0</c:v>
                </c:pt>
                <c:pt idx="29">
                  <c:v>98.0</c:v>
                </c:pt>
                <c:pt idx="30">
                  <c:v>99.0</c:v>
                </c:pt>
                <c:pt idx="31">
                  <c:v>100.0</c:v>
                </c:pt>
                <c:pt idx="32">
                  <c:v>101.0</c:v>
                </c:pt>
                <c:pt idx="33">
                  <c:v>102.0</c:v>
                </c:pt>
                <c:pt idx="34">
                  <c:v>103.0</c:v>
                </c:pt>
                <c:pt idx="35">
                  <c:v>104.0</c:v>
                </c:pt>
                <c:pt idx="36">
                  <c:v>105.0</c:v>
                </c:pt>
                <c:pt idx="37">
                  <c:v>106.0</c:v>
                </c:pt>
                <c:pt idx="38">
                  <c:v>107.0</c:v>
                </c:pt>
                <c:pt idx="39">
                  <c:v>108.0</c:v>
                </c:pt>
                <c:pt idx="40">
                  <c:v>109.0</c:v>
                </c:pt>
                <c:pt idx="41">
                  <c:v>110.0</c:v>
                </c:pt>
                <c:pt idx="42">
                  <c:v>111.0</c:v>
                </c:pt>
                <c:pt idx="43">
                  <c:v>112.0</c:v>
                </c:pt>
                <c:pt idx="44">
                  <c:v>113.0</c:v>
                </c:pt>
                <c:pt idx="45">
                  <c:v>114.0</c:v>
                </c:pt>
                <c:pt idx="46">
                  <c:v>115.0</c:v>
                </c:pt>
                <c:pt idx="47">
                  <c:v>116.0</c:v>
                </c:pt>
                <c:pt idx="48">
                  <c:v>117.0</c:v>
                </c:pt>
                <c:pt idx="49">
                  <c:v>118.0</c:v>
                </c:pt>
                <c:pt idx="50">
                  <c:v>119.0</c:v>
                </c:pt>
                <c:pt idx="51">
                  <c:v>120.0</c:v>
                </c:pt>
              </c:numCache>
            </c:numRef>
          </c:cat>
          <c:val>
            <c:numRef>
              <c:f>肥満曲線_データ!$H$59:$H$142</c:f>
              <c:numCache>
                <c:formatCode>General</c:formatCode>
                <c:ptCount val="84"/>
                <c:pt idx="0">
                  <c:v>14.65680221900007</c:v>
                </c:pt>
                <c:pt idx="1">
                  <c:v>15.043059752</c:v>
                </c:pt>
                <c:pt idx="2">
                  <c:v>15.42453891299996</c:v>
                </c:pt>
                <c:pt idx="3">
                  <c:v>15.80200601599998</c:v>
                </c:pt>
                <c:pt idx="4">
                  <c:v>16.17622737499997</c:v>
                </c:pt>
                <c:pt idx="5">
                  <c:v>16.54796930399996</c:v>
                </c:pt>
                <c:pt idx="6">
                  <c:v>16.91799811699994</c:v>
                </c:pt>
                <c:pt idx="7">
                  <c:v>17.28708012799999</c:v>
                </c:pt>
                <c:pt idx="8">
                  <c:v>17.65598165099996</c:v>
                </c:pt>
                <c:pt idx="9">
                  <c:v>18.02546900000002</c:v>
                </c:pt>
                <c:pt idx="10">
                  <c:v>18.39630848900001</c:v>
                </c:pt>
                <c:pt idx="11">
                  <c:v>18.76926643199997</c:v>
                </c:pt>
                <c:pt idx="12">
                  <c:v>19.1451091430001</c:v>
                </c:pt>
                <c:pt idx="13">
                  <c:v>19.52460293599998</c:v>
                </c:pt>
                <c:pt idx="14">
                  <c:v>19.90851412499987</c:v>
                </c:pt>
                <c:pt idx="15">
                  <c:v>20.29760902400008</c:v>
                </c:pt>
                <c:pt idx="16">
                  <c:v>20.69265394700002</c:v>
                </c:pt>
                <c:pt idx="17">
                  <c:v>21.0944152079999</c:v>
                </c:pt>
                <c:pt idx="18">
                  <c:v>21.50365912100003</c:v>
                </c:pt>
                <c:pt idx="19">
                  <c:v>21.92115199999992</c:v>
                </c:pt>
                <c:pt idx="20">
                  <c:v>22.34766015900001</c:v>
                </c:pt>
                <c:pt idx="21">
                  <c:v>22.78394991200005</c:v>
                </c:pt>
                <c:pt idx="22">
                  <c:v>23.2307875729999</c:v>
                </c:pt>
                <c:pt idx="23">
                  <c:v>23.68893945600004</c:v>
                </c:pt>
                <c:pt idx="24">
                  <c:v>24.15917187500006</c:v>
                </c:pt>
                <c:pt idx="25">
                  <c:v>24.64225114399991</c:v>
                </c:pt>
                <c:pt idx="26">
                  <c:v>25.13894357699999</c:v>
                </c:pt>
                <c:pt idx="27">
                  <c:v>25.65001548799998</c:v>
                </c:pt>
                <c:pt idx="28">
                  <c:v>26.17623319099997</c:v>
                </c:pt>
                <c:pt idx="29">
                  <c:v>26.71836299999998</c:v>
                </c:pt>
                <c:pt idx="30">
                  <c:v>27.277171229</c:v>
                </c:pt>
                <c:pt idx="31">
                  <c:v>27.85342419199995</c:v>
                </c:pt>
                <c:pt idx="32">
                  <c:v>28.44788820300002</c:v>
                </c:pt>
                <c:pt idx="33">
                  <c:v>29.06132957599996</c:v>
                </c:pt>
                <c:pt idx="34">
                  <c:v>29.69451462499998</c:v>
                </c:pt>
                <c:pt idx="35">
                  <c:v>30.348209664</c:v>
                </c:pt>
                <c:pt idx="36">
                  <c:v>31.02318100699992</c:v>
                </c:pt>
                <c:pt idx="37">
                  <c:v>31.72019496800002</c:v>
                </c:pt>
                <c:pt idx="38">
                  <c:v>32.44001786099997</c:v>
                </c:pt>
                <c:pt idx="39">
                  <c:v>33.16216000000076</c:v>
                </c:pt>
                <c:pt idx="40">
                  <c:v>33.88722914000118</c:v>
                </c:pt>
                <c:pt idx="41">
                  <c:v>34.70778191999943</c:v>
                </c:pt>
                <c:pt idx="42">
                  <c:v>35.61309237999831</c:v>
                </c:pt>
                <c:pt idx="43">
                  <c:v>36.59243456000058</c:v>
                </c:pt>
                <c:pt idx="44">
                  <c:v>37.63508250000177</c:v>
                </c:pt>
                <c:pt idx="45">
                  <c:v>38.73031023999737</c:v>
                </c:pt>
                <c:pt idx="46">
                  <c:v>39.8673918200011</c:v>
                </c:pt>
                <c:pt idx="47">
                  <c:v>41.03560128000117</c:v>
                </c:pt>
                <c:pt idx="48">
                  <c:v>42.35617654899988</c:v>
                </c:pt>
                <c:pt idx="49">
                  <c:v>43.42587499999945</c:v>
                </c:pt>
                <c:pt idx="50">
                  <c:v>44.43082435099996</c:v>
                </c:pt>
                <c:pt idx="51">
                  <c:v>45.37676300799967</c:v>
                </c:pt>
                <c:pt idx="52">
                  <c:v>46.2694293769996</c:v>
                </c:pt>
                <c:pt idx="53">
                  <c:v>47.11456186400164</c:v>
                </c:pt>
                <c:pt idx="54">
                  <c:v>47.91789887500136</c:v>
                </c:pt>
                <c:pt idx="55">
                  <c:v>48.68517881600064</c:v>
                </c:pt>
                <c:pt idx="56">
                  <c:v>49.42214009300142</c:v>
                </c:pt>
                <c:pt idx="57">
                  <c:v>50.13452111200013</c:v>
                </c:pt>
                <c:pt idx="58">
                  <c:v>50.82806027900051</c:v>
                </c:pt>
                <c:pt idx="59">
                  <c:v>51.50849599999992</c:v>
                </c:pt>
                <c:pt idx="60">
                  <c:v>52.18156668099937</c:v>
                </c:pt>
                <c:pt idx="61">
                  <c:v>52.85301072799894</c:v>
                </c:pt>
                <c:pt idx="62">
                  <c:v>53.52856654699871</c:v>
                </c:pt>
                <c:pt idx="63">
                  <c:v>54.21397254400062</c:v>
                </c:pt>
                <c:pt idx="64">
                  <c:v>54.91496712499929</c:v>
                </c:pt>
                <c:pt idx="65">
                  <c:v>55.63728869599936</c:v>
                </c:pt>
                <c:pt idx="66">
                  <c:v>56.38667566300091</c:v>
                </c:pt>
                <c:pt idx="67">
                  <c:v>57.16886643200041</c:v>
                </c:pt>
                <c:pt idx="68">
                  <c:v>57.98959940899977</c:v>
                </c:pt>
                <c:pt idx="69">
                  <c:v>58.85461300000088</c:v>
                </c:pt>
                <c:pt idx="70">
                  <c:v>59.7696456109984</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val>
          <c:smooth val="0"/>
        </c:ser>
        <c:ser>
          <c:idx val="7"/>
          <c:order val="5"/>
          <c:tx>
            <c:strRef>
              <c:f>肥満曲線_データ!$I$58</c:f>
              <c:strCache>
                <c:ptCount val="1"/>
                <c:pt idx="0">
                  <c:v>+20％</c:v>
                </c:pt>
              </c:strCache>
            </c:strRef>
          </c:tx>
          <c:spPr>
            <a:ln w="19050">
              <a:solidFill>
                <a:schemeClr val="tx1"/>
              </a:solidFill>
            </a:ln>
          </c:spPr>
          <c:marker>
            <c:symbol val="none"/>
          </c:marker>
          <c:dLbls>
            <c:dLbl>
              <c:idx val="50"/>
              <c:layout>
                <c:manualLayout>
                  <c:x val="0.167078016053949"/>
                  <c:y val="-0.15671416168735"/>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肥満曲線_データ!$A$3:$A$55</c:f>
              <c:numCache>
                <c:formatCode>General</c:formatCode>
                <c:ptCount val="53"/>
                <c:pt idx="0">
                  <c:v>69.0</c:v>
                </c:pt>
                <c:pt idx="1">
                  <c:v>70.0</c:v>
                </c:pt>
                <c:pt idx="2">
                  <c:v>71.0</c:v>
                </c:pt>
                <c:pt idx="3">
                  <c:v>72.0</c:v>
                </c:pt>
                <c:pt idx="4">
                  <c:v>73.0</c:v>
                </c:pt>
                <c:pt idx="5">
                  <c:v>74.0</c:v>
                </c:pt>
                <c:pt idx="6">
                  <c:v>75.0</c:v>
                </c:pt>
                <c:pt idx="7">
                  <c:v>76.0</c:v>
                </c:pt>
                <c:pt idx="8">
                  <c:v>77.0</c:v>
                </c:pt>
                <c:pt idx="9">
                  <c:v>78.0</c:v>
                </c:pt>
                <c:pt idx="10">
                  <c:v>79.0</c:v>
                </c:pt>
                <c:pt idx="11">
                  <c:v>80.0</c:v>
                </c:pt>
                <c:pt idx="12">
                  <c:v>81.0</c:v>
                </c:pt>
                <c:pt idx="13">
                  <c:v>82.0</c:v>
                </c:pt>
                <c:pt idx="14">
                  <c:v>83.0</c:v>
                </c:pt>
                <c:pt idx="15">
                  <c:v>84.0</c:v>
                </c:pt>
                <c:pt idx="16">
                  <c:v>85.0</c:v>
                </c:pt>
                <c:pt idx="17">
                  <c:v>86.0</c:v>
                </c:pt>
                <c:pt idx="18">
                  <c:v>87.0</c:v>
                </c:pt>
                <c:pt idx="19">
                  <c:v>88.0</c:v>
                </c:pt>
                <c:pt idx="20">
                  <c:v>89.0</c:v>
                </c:pt>
                <c:pt idx="21">
                  <c:v>90.0</c:v>
                </c:pt>
                <c:pt idx="22">
                  <c:v>91.0</c:v>
                </c:pt>
                <c:pt idx="23">
                  <c:v>92.0</c:v>
                </c:pt>
                <c:pt idx="24">
                  <c:v>93.0</c:v>
                </c:pt>
                <c:pt idx="25">
                  <c:v>94.0</c:v>
                </c:pt>
                <c:pt idx="26">
                  <c:v>95.0</c:v>
                </c:pt>
                <c:pt idx="27">
                  <c:v>96.0</c:v>
                </c:pt>
                <c:pt idx="28">
                  <c:v>97.0</c:v>
                </c:pt>
                <c:pt idx="29">
                  <c:v>98.0</c:v>
                </c:pt>
                <c:pt idx="30">
                  <c:v>99.0</c:v>
                </c:pt>
                <c:pt idx="31">
                  <c:v>100.0</c:v>
                </c:pt>
                <c:pt idx="32">
                  <c:v>101.0</c:v>
                </c:pt>
                <c:pt idx="33">
                  <c:v>102.0</c:v>
                </c:pt>
                <c:pt idx="34">
                  <c:v>103.0</c:v>
                </c:pt>
                <c:pt idx="35">
                  <c:v>104.0</c:v>
                </c:pt>
                <c:pt idx="36">
                  <c:v>105.0</c:v>
                </c:pt>
                <c:pt idx="37">
                  <c:v>106.0</c:v>
                </c:pt>
                <c:pt idx="38">
                  <c:v>107.0</c:v>
                </c:pt>
                <c:pt idx="39">
                  <c:v>108.0</c:v>
                </c:pt>
                <c:pt idx="40">
                  <c:v>109.0</c:v>
                </c:pt>
                <c:pt idx="41">
                  <c:v>110.0</c:v>
                </c:pt>
                <c:pt idx="42">
                  <c:v>111.0</c:v>
                </c:pt>
                <c:pt idx="43">
                  <c:v>112.0</c:v>
                </c:pt>
                <c:pt idx="44">
                  <c:v>113.0</c:v>
                </c:pt>
                <c:pt idx="45">
                  <c:v>114.0</c:v>
                </c:pt>
                <c:pt idx="46">
                  <c:v>115.0</c:v>
                </c:pt>
                <c:pt idx="47">
                  <c:v>116.0</c:v>
                </c:pt>
                <c:pt idx="48">
                  <c:v>117.0</c:v>
                </c:pt>
                <c:pt idx="49">
                  <c:v>118.0</c:v>
                </c:pt>
                <c:pt idx="50">
                  <c:v>119.0</c:v>
                </c:pt>
                <c:pt idx="51">
                  <c:v>120.0</c:v>
                </c:pt>
              </c:numCache>
            </c:numRef>
          </c:cat>
          <c:val>
            <c:numRef>
              <c:f>肥満曲線_データ!$I$59:$I$142</c:f>
              <c:numCache>
                <c:formatCode>General</c:formatCode>
                <c:ptCount val="84"/>
                <c:pt idx="0">
                  <c:v>17.58816266280008</c:v>
                </c:pt>
                <c:pt idx="1">
                  <c:v>18.0516717024</c:v>
                </c:pt>
                <c:pt idx="2">
                  <c:v>18.50944669559996</c:v>
                </c:pt>
                <c:pt idx="3">
                  <c:v>18.96240721919997</c:v>
                </c:pt>
                <c:pt idx="4">
                  <c:v>19.41147284999996</c:v>
                </c:pt>
                <c:pt idx="5">
                  <c:v>19.85756316479996</c:v>
                </c:pt>
                <c:pt idx="6">
                  <c:v>20.30159774039993</c:v>
                </c:pt>
                <c:pt idx="7">
                  <c:v>20.74449615359998</c:v>
                </c:pt>
                <c:pt idx="8">
                  <c:v>21.18717798119996</c:v>
                </c:pt>
                <c:pt idx="9">
                  <c:v>21.63056280000002</c:v>
                </c:pt>
                <c:pt idx="10">
                  <c:v>22.07557018680001</c:v>
                </c:pt>
                <c:pt idx="11">
                  <c:v>22.52311971839996</c:v>
                </c:pt>
                <c:pt idx="12">
                  <c:v>22.97413097160012</c:v>
                </c:pt>
                <c:pt idx="13">
                  <c:v>23.42952352319998</c:v>
                </c:pt>
                <c:pt idx="14">
                  <c:v>23.89021694999984</c:v>
                </c:pt>
                <c:pt idx="15">
                  <c:v>24.3571308288001</c:v>
                </c:pt>
                <c:pt idx="16">
                  <c:v>24.83118473640003</c:v>
                </c:pt>
                <c:pt idx="17">
                  <c:v>25.31329824959988</c:v>
                </c:pt>
                <c:pt idx="18">
                  <c:v>25.80439094520003</c:v>
                </c:pt>
                <c:pt idx="19">
                  <c:v>26.3053823999999</c:v>
                </c:pt>
                <c:pt idx="20">
                  <c:v>26.81719219080002</c:v>
                </c:pt>
                <c:pt idx="21">
                  <c:v>27.34073989440006</c:v>
                </c:pt>
                <c:pt idx="22">
                  <c:v>27.87694508759988</c:v>
                </c:pt>
                <c:pt idx="23">
                  <c:v>28.42672734720005</c:v>
                </c:pt>
                <c:pt idx="24">
                  <c:v>28.99100625000007</c:v>
                </c:pt>
                <c:pt idx="25">
                  <c:v>29.5707013727999</c:v>
                </c:pt>
                <c:pt idx="26">
                  <c:v>30.16673229239999</c:v>
                </c:pt>
                <c:pt idx="27">
                  <c:v>30.78001858559998</c:v>
                </c:pt>
                <c:pt idx="28">
                  <c:v>31.41147982919996</c:v>
                </c:pt>
                <c:pt idx="29">
                  <c:v>32.06203559999998</c:v>
                </c:pt>
                <c:pt idx="30">
                  <c:v>32.7326054748</c:v>
                </c:pt>
                <c:pt idx="31">
                  <c:v>33.42410903039994</c:v>
                </c:pt>
                <c:pt idx="32">
                  <c:v>34.13746584360002</c:v>
                </c:pt>
                <c:pt idx="33">
                  <c:v>34.87359549119996</c:v>
                </c:pt>
                <c:pt idx="34">
                  <c:v>35.63341754999997</c:v>
                </c:pt>
                <c:pt idx="35">
                  <c:v>36.41785159679999</c:v>
                </c:pt>
                <c:pt idx="36">
                  <c:v>37.2278172083999</c:v>
                </c:pt>
                <c:pt idx="37">
                  <c:v>38.06423396160002</c:v>
                </c:pt>
                <c:pt idx="38">
                  <c:v>38.92802143319997</c:v>
                </c:pt>
                <c:pt idx="39">
                  <c:v>39.79459200000091</c:v>
                </c:pt>
                <c:pt idx="40">
                  <c:v>40.66467496800141</c:v>
                </c:pt>
                <c:pt idx="41">
                  <c:v>41.64933830399932</c:v>
                </c:pt>
                <c:pt idx="42">
                  <c:v>42.73571085599796</c:v>
                </c:pt>
                <c:pt idx="43">
                  <c:v>43.9109214720007</c:v>
                </c:pt>
                <c:pt idx="44">
                  <c:v>45.16209900000212</c:v>
                </c:pt>
                <c:pt idx="45">
                  <c:v>46.47637228799685</c:v>
                </c:pt>
                <c:pt idx="46">
                  <c:v>47.84087018400133</c:v>
                </c:pt>
                <c:pt idx="47">
                  <c:v>49.2427215360014</c:v>
                </c:pt>
                <c:pt idx="48">
                  <c:v>50.82741185879986</c:v>
                </c:pt>
                <c:pt idx="49">
                  <c:v>52.11104999999934</c:v>
                </c:pt>
                <c:pt idx="50">
                  <c:v>53.31698922119995</c:v>
                </c:pt>
                <c:pt idx="51">
                  <c:v>54.4521156095996</c:v>
                </c:pt>
                <c:pt idx="52">
                  <c:v>55.52331525239951</c:v>
                </c:pt>
                <c:pt idx="53">
                  <c:v>56.53747423680197</c:v>
                </c:pt>
                <c:pt idx="54">
                  <c:v>57.50147865000162</c:v>
                </c:pt>
                <c:pt idx="55">
                  <c:v>58.42221457920077</c:v>
                </c:pt>
                <c:pt idx="56">
                  <c:v>59.3065681116017</c:v>
                </c:pt>
                <c:pt idx="57">
                  <c:v>60.16142533440014</c:v>
                </c:pt>
                <c:pt idx="58">
                  <c:v>60.9936723348006</c:v>
                </c:pt>
                <c:pt idx="59">
                  <c:v>61.8101951999999</c:v>
                </c:pt>
                <c:pt idx="60">
                  <c:v>62.61788001719924</c:v>
                </c:pt>
                <c:pt idx="61">
                  <c:v>63.42361287359872</c:v>
                </c:pt>
                <c:pt idx="62">
                  <c:v>64.23427985639845</c:v>
                </c:pt>
                <c:pt idx="63">
                  <c:v>65.05676705280075</c:v>
                </c:pt>
                <c:pt idx="64">
                  <c:v>65.89796054999915</c:v>
                </c:pt>
                <c:pt idx="65">
                  <c:v>66.76474643519923</c:v>
                </c:pt>
                <c:pt idx="66">
                  <c:v>67.6640107956011</c:v>
                </c:pt>
                <c:pt idx="67">
                  <c:v>68.6026397184005</c:v>
                </c:pt>
                <c:pt idx="68">
                  <c:v>69.58751929079971</c:v>
                </c:pt>
                <c:pt idx="69">
                  <c:v>70.62553560000106</c:v>
                </c:pt>
                <c:pt idx="70">
                  <c:v>71.72357473319808</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val>
          <c:smooth val="0"/>
        </c:ser>
        <c:ser>
          <c:idx val="8"/>
          <c:order val="6"/>
          <c:tx>
            <c:strRef>
              <c:f>肥満曲線_データ!$J$58</c:f>
              <c:strCache>
                <c:ptCount val="1"/>
                <c:pt idx="0">
                  <c:v>+30％</c:v>
                </c:pt>
              </c:strCache>
            </c:strRef>
          </c:tx>
          <c:spPr>
            <a:ln w="19050">
              <a:solidFill>
                <a:schemeClr val="tx1"/>
              </a:solidFill>
            </a:ln>
          </c:spPr>
          <c:marker>
            <c:symbol val="none"/>
          </c:marker>
          <c:dLbls>
            <c:dLbl>
              <c:idx val="50"/>
              <c:layout>
                <c:manualLayout>
                  <c:x val="0.169048387493567"/>
                  <c:y val="-0.174582730424618"/>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肥満曲線_データ!$A$3:$A$55</c:f>
              <c:numCache>
                <c:formatCode>General</c:formatCode>
                <c:ptCount val="53"/>
                <c:pt idx="0">
                  <c:v>69.0</c:v>
                </c:pt>
                <c:pt idx="1">
                  <c:v>70.0</c:v>
                </c:pt>
                <c:pt idx="2">
                  <c:v>71.0</c:v>
                </c:pt>
                <c:pt idx="3">
                  <c:v>72.0</c:v>
                </c:pt>
                <c:pt idx="4">
                  <c:v>73.0</c:v>
                </c:pt>
                <c:pt idx="5">
                  <c:v>74.0</c:v>
                </c:pt>
                <c:pt idx="6">
                  <c:v>75.0</c:v>
                </c:pt>
                <c:pt idx="7">
                  <c:v>76.0</c:v>
                </c:pt>
                <c:pt idx="8">
                  <c:v>77.0</c:v>
                </c:pt>
                <c:pt idx="9">
                  <c:v>78.0</c:v>
                </c:pt>
                <c:pt idx="10">
                  <c:v>79.0</c:v>
                </c:pt>
                <c:pt idx="11">
                  <c:v>80.0</c:v>
                </c:pt>
                <c:pt idx="12">
                  <c:v>81.0</c:v>
                </c:pt>
                <c:pt idx="13">
                  <c:v>82.0</c:v>
                </c:pt>
                <c:pt idx="14">
                  <c:v>83.0</c:v>
                </c:pt>
                <c:pt idx="15">
                  <c:v>84.0</c:v>
                </c:pt>
                <c:pt idx="16">
                  <c:v>85.0</c:v>
                </c:pt>
                <c:pt idx="17">
                  <c:v>86.0</c:v>
                </c:pt>
                <c:pt idx="18">
                  <c:v>87.0</c:v>
                </c:pt>
                <c:pt idx="19">
                  <c:v>88.0</c:v>
                </c:pt>
                <c:pt idx="20">
                  <c:v>89.0</c:v>
                </c:pt>
                <c:pt idx="21">
                  <c:v>90.0</c:v>
                </c:pt>
                <c:pt idx="22">
                  <c:v>91.0</c:v>
                </c:pt>
                <c:pt idx="23">
                  <c:v>92.0</c:v>
                </c:pt>
                <c:pt idx="24">
                  <c:v>93.0</c:v>
                </c:pt>
                <c:pt idx="25">
                  <c:v>94.0</c:v>
                </c:pt>
                <c:pt idx="26">
                  <c:v>95.0</c:v>
                </c:pt>
                <c:pt idx="27">
                  <c:v>96.0</c:v>
                </c:pt>
                <c:pt idx="28">
                  <c:v>97.0</c:v>
                </c:pt>
                <c:pt idx="29">
                  <c:v>98.0</c:v>
                </c:pt>
                <c:pt idx="30">
                  <c:v>99.0</c:v>
                </c:pt>
                <c:pt idx="31">
                  <c:v>100.0</c:v>
                </c:pt>
                <c:pt idx="32">
                  <c:v>101.0</c:v>
                </c:pt>
                <c:pt idx="33">
                  <c:v>102.0</c:v>
                </c:pt>
                <c:pt idx="34">
                  <c:v>103.0</c:v>
                </c:pt>
                <c:pt idx="35">
                  <c:v>104.0</c:v>
                </c:pt>
                <c:pt idx="36">
                  <c:v>105.0</c:v>
                </c:pt>
                <c:pt idx="37">
                  <c:v>106.0</c:v>
                </c:pt>
                <c:pt idx="38">
                  <c:v>107.0</c:v>
                </c:pt>
                <c:pt idx="39">
                  <c:v>108.0</c:v>
                </c:pt>
                <c:pt idx="40">
                  <c:v>109.0</c:v>
                </c:pt>
                <c:pt idx="41">
                  <c:v>110.0</c:v>
                </c:pt>
                <c:pt idx="42">
                  <c:v>111.0</c:v>
                </c:pt>
                <c:pt idx="43">
                  <c:v>112.0</c:v>
                </c:pt>
                <c:pt idx="44">
                  <c:v>113.0</c:v>
                </c:pt>
                <c:pt idx="45">
                  <c:v>114.0</c:v>
                </c:pt>
                <c:pt idx="46">
                  <c:v>115.0</c:v>
                </c:pt>
                <c:pt idx="47">
                  <c:v>116.0</c:v>
                </c:pt>
                <c:pt idx="48">
                  <c:v>117.0</c:v>
                </c:pt>
                <c:pt idx="49">
                  <c:v>118.0</c:v>
                </c:pt>
                <c:pt idx="50">
                  <c:v>119.0</c:v>
                </c:pt>
                <c:pt idx="51">
                  <c:v>120.0</c:v>
                </c:pt>
              </c:numCache>
            </c:numRef>
          </c:cat>
          <c:val>
            <c:numRef>
              <c:f>肥満曲線_データ!$J$59:$J$142</c:f>
              <c:numCache>
                <c:formatCode>General</c:formatCode>
                <c:ptCount val="84"/>
                <c:pt idx="0">
                  <c:v>19.05384288470009</c:v>
                </c:pt>
                <c:pt idx="1">
                  <c:v>19.55597767760001</c:v>
                </c:pt>
                <c:pt idx="2">
                  <c:v>20.05190058689995</c:v>
                </c:pt>
                <c:pt idx="3">
                  <c:v>20.54260782079997</c:v>
                </c:pt>
                <c:pt idx="4">
                  <c:v>21.02909558749996</c:v>
                </c:pt>
                <c:pt idx="5">
                  <c:v>21.51236009519995</c:v>
                </c:pt>
                <c:pt idx="6">
                  <c:v>21.99339755209992</c:v>
                </c:pt>
                <c:pt idx="7">
                  <c:v>22.47320416639998</c:v>
                </c:pt>
                <c:pt idx="8">
                  <c:v>22.95277614629995</c:v>
                </c:pt>
                <c:pt idx="9">
                  <c:v>23.43310970000002</c:v>
                </c:pt>
                <c:pt idx="10">
                  <c:v>23.91520103570001</c:v>
                </c:pt>
                <c:pt idx="11">
                  <c:v>24.40004636159996</c:v>
                </c:pt>
                <c:pt idx="12">
                  <c:v>24.88864188590013</c:v>
                </c:pt>
                <c:pt idx="13">
                  <c:v>25.38198381679997</c:v>
                </c:pt>
                <c:pt idx="14">
                  <c:v>25.88106836249983</c:v>
                </c:pt>
                <c:pt idx="15">
                  <c:v>26.38689173120011</c:v>
                </c:pt>
                <c:pt idx="16">
                  <c:v>26.90045013110003</c:v>
                </c:pt>
                <c:pt idx="17">
                  <c:v>27.42273977039987</c:v>
                </c:pt>
                <c:pt idx="18">
                  <c:v>27.95475685730004</c:v>
                </c:pt>
                <c:pt idx="19">
                  <c:v>28.4974975999999</c:v>
                </c:pt>
                <c:pt idx="20">
                  <c:v>29.05195820670002</c:v>
                </c:pt>
                <c:pt idx="21">
                  <c:v>29.61913488560007</c:v>
                </c:pt>
                <c:pt idx="22">
                  <c:v>30.20002384489987</c:v>
                </c:pt>
                <c:pt idx="23">
                  <c:v>30.79562129280006</c:v>
                </c:pt>
                <c:pt idx="24">
                  <c:v>31.40692343750007</c:v>
                </c:pt>
                <c:pt idx="25">
                  <c:v>32.03492648719989</c:v>
                </c:pt>
                <c:pt idx="26">
                  <c:v>32.68062665009999</c:v>
                </c:pt>
                <c:pt idx="27">
                  <c:v>33.34502013439997</c:v>
                </c:pt>
                <c:pt idx="28">
                  <c:v>34.02910314829995</c:v>
                </c:pt>
                <c:pt idx="29">
                  <c:v>34.73387189999997</c:v>
                </c:pt>
                <c:pt idx="30">
                  <c:v>35.46032259770001</c:v>
                </c:pt>
                <c:pt idx="31">
                  <c:v>36.20945144959993</c:v>
                </c:pt>
                <c:pt idx="32">
                  <c:v>36.98225466390003</c:v>
                </c:pt>
                <c:pt idx="33">
                  <c:v>37.77972844879995</c:v>
                </c:pt>
                <c:pt idx="34">
                  <c:v>38.60286901249998</c:v>
                </c:pt>
                <c:pt idx="35">
                  <c:v>39.4526725632</c:v>
                </c:pt>
                <c:pt idx="36">
                  <c:v>40.3301353090999</c:v>
                </c:pt>
                <c:pt idx="37">
                  <c:v>41.23625345840002</c:v>
                </c:pt>
                <c:pt idx="38">
                  <c:v>42.17202321929997</c:v>
                </c:pt>
                <c:pt idx="39">
                  <c:v>43.110808000001</c:v>
                </c:pt>
                <c:pt idx="40">
                  <c:v>44.05339788200154</c:v>
                </c:pt>
                <c:pt idx="41">
                  <c:v>45.12011649599926</c:v>
                </c:pt>
                <c:pt idx="42">
                  <c:v>46.2970200939978</c:v>
                </c:pt>
                <c:pt idx="43">
                  <c:v>47.57016492800075</c:v>
                </c:pt>
                <c:pt idx="44">
                  <c:v>48.92560725000231</c:v>
                </c:pt>
                <c:pt idx="45">
                  <c:v>50.3494033119966</c:v>
                </c:pt>
                <c:pt idx="46">
                  <c:v>51.82760936600143</c:v>
                </c:pt>
                <c:pt idx="47">
                  <c:v>53.34628166400153</c:v>
                </c:pt>
                <c:pt idx="48">
                  <c:v>55.06302951369985</c:v>
                </c:pt>
                <c:pt idx="49">
                  <c:v>56.45363749999929</c:v>
                </c:pt>
                <c:pt idx="50">
                  <c:v>57.76007165629994</c:v>
                </c:pt>
                <c:pt idx="51">
                  <c:v>58.98979191039957</c:v>
                </c:pt>
                <c:pt idx="52">
                  <c:v>60.15025819009948</c:v>
                </c:pt>
                <c:pt idx="53">
                  <c:v>61.24893042320214</c:v>
                </c:pt>
                <c:pt idx="54">
                  <c:v>62.29326853750176</c:v>
                </c:pt>
                <c:pt idx="55">
                  <c:v>63.29073246080083</c:v>
                </c:pt>
                <c:pt idx="56">
                  <c:v>64.24878212090185</c:v>
                </c:pt>
                <c:pt idx="57">
                  <c:v>65.17487744560017</c:v>
                </c:pt>
                <c:pt idx="58">
                  <c:v>66.07647836270067</c:v>
                </c:pt>
                <c:pt idx="59">
                  <c:v>66.9610447999999</c:v>
                </c:pt>
                <c:pt idx="60">
                  <c:v>67.83603668529917</c:v>
                </c:pt>
                <c:pt idx="61">
                  <c:v>68.70891394639862</c:v>
                </c:pt>
                <c:pt idx="62">
                  <c:v>69.58713651109834</c:v>
                </c:pt>
                <c:pt idx="63">
                  <c:v>70.47816430720081</c:v>
                </c:pt>
                <c:pt idx="64">
                  <c:v>71.38945726249908</c:v>
                </c:pt>
                <c:pt idx="65">
                  <c:v>72.32847530479917</c:v>
                </c:pt>
                <c:pt idx="66">
                  <c:v>73.30267836190119</c:v>
                </c:pt>
                <c:pt idx="67">
                  <c:v>74.31952636160053</c:v>
                </c:pt>
                <c:pt idx="68">
                  <c:v>75.3864792316997</c:v>
                </c:pt>
                <c:pt idx="69">
                  <c:v>76.51099690000114</c:v>
                </c:pt>
                <c:pt idx="70">
                  <c:v>77.7005392942979</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val>
          <c:smooth val="0"/>
        </c:ser>
        <c:ser>
          <c:idx val="9"/>
          <c:order val="7"/>
          <c:tx>
            <c:strRef>
              <c:f>肥満曲線_データ!$K$58</c:f>
              <c:strCache>
                <c:ptCount val="1"/>
                <c:pt idx="0">
                  <c:v>+50%</c:v>
                </c:pt>
              </c:strCache>
            </c:strRef>
          </c:tx>
          <c:spPr>
            <a:ln w="19050">
              <a:solidFill>
                <a:schemeClr val="tx1"/>
              </a:solidFill>
            </a:ln>
          </c:spPr>
          <c:marker>
            <c:symbol val="none"/>
          </c:marker>
          <c:dLbls>
            <c:dLbl>
              <c:idx val="50"/>
              <c:layout>
                <c:manualLayout>
                  <c:x val="0.16944366874554"/>
                  <c:y val="-0.17868528179013"/>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肥満曲線_データ!$A$3:$A$55</c:f>
              <c:numCache>
                <c:formatCode>General</c:formatCode>
                <c:ptCount val="53"/>
                <c:pt idx="0">
                  <c:v>69.0</c:v>
                </c:pt>
                <c:pt idx="1">
                  <c:v>70.0</c:v>
                </c:pt>
                <c:pt idx="2">
                  <c:v>71.0</c:v>
                </c:pt>
                <c:pt idx="3">
                  <c:v>72.0</c:v>
                </c:pt>
                <c:pt idx="4">
                  <c:v>73.0</c:v>
                </c:pt>
                <c:pt idx="5">
                  <c:v>74.0</c:v>
                </c:pt>
                <c:pt idx="6">
                  <c:v>75.0</c:v>
                </c:pt>
                <c:pt idx="7">
                  <c:v>76.0</c:v>
                </c:pt>
                <c:pt idx="8">
                  <c:v>77.0</c:v>
                </c:pt>
                <c:pt idx="9">
                  <c:v>78.0</c:v>
                </c:pt>
                <c:pt idx="10">
                  <c:v>79.0</c:v>
                </c:pt>
                <c:pt idx="11">
                  <c:v>80.0</c:v>
                </c:pt>
                <c:pt idx="12">
                  <c:v>81.0</c:v>
                </c:pt>
                <c:pt idx="13">
                  <c:v>82.0</c:v>
                </c:pt>
                <c:pt idx="14">
                  <c:v>83.0</c:v>
                </c:pt>
                <c:pt idx="15">
                  <c:v>84.0</c:v>
                </c:pt>
                <c:pt idx="16">
                  <c:v>85.0</c:v>
                </c:pt>
                <c:pt idx="17">
                  <c:v>86.0</c:v>
                </c:pt>
                <c:pt idx="18">
                  <c:v>87.0</c:v>
                </c:pt>
                <c:pt idx="19">
                  <c:v>88.0</c:v>
                </c:pt>
                <c:pt idx="20">
                  <c:v>89.0</c:v>
                </c:pt>
                <c:pt idx="21">
                  <c:v>90.0</c:v>
                </c:pt>
                <c:pt idx="22">
                  <c:v>91.0</c:v>
                </c:pt>
                <c:pt idx="23">
                  <c:v>92.0</c:v>
                </c:pt>
                <c:pt idx="24">
                  <c:v>93.0</c:v>
                </c:pt>
                <c:pt idx="25">
                  <c:v>94.0</c:v>
                </c:pt>
                <c:pt idx="26">
                  <c:v>95.0</c:v>
                </c:pt>
                <c:pt idx="27">
                  <c:v>96.0</c:v>
                </c:pt>
                <c:pt idx="28">
                  <c:v>97.0</c:v>
                </c:pt>
                <c:pt idx="29">
                  <c:v>98.0</c:v>
                </c:pt>
                <c:pt idx="30">
                  <c:v>99.0</c:v>
                </c:pt>
                <c:pt idx="31">
                  <c:v>100.0</c:v>
                </c:pt>
                <c:pt idx="32">
                  <c:v>101.0</c:v>
                </c:pt>
                <c:pt idx="33">
                  <c:v>102.0</c:v>
                </c:pt>
                <c:pt idx="34">
                  <c:v>103.0</c:v>
                </c:pt>
                <c:pt idx="35">
                  <c:v>104.0</c:v>
                </c:pt>
                <c:pt idx="36">
                  <c:v>105.0</c:v>
                </c:pt>
                <c:pt idx="37">
                  <c:v>106.0</c:v>
                </c:pt>
                <c:pt idx="38">
                  <c:v>107.0</c:v>
                </c:pt>
                <c:pt idx="39">
                  <c:v>108.0</c:v>
                </c:pt>
                <c:pt idx="40">
                  <c:v>109.0</c:v>
                </c:pt>
                <c:pt idx="41">
                  <c:v>110.0</c:v>
                </c:pt>
                <c:pt idx="42">
                  <c:v>111.0</c:v>
                </c:pt>
                <c:pt idx="43">
                  <c:v>112.0</c:v>
                </c:pt>
                <c:pt idx="44">
                  <c:v>113.0</c:v>
                </c:pt>
                <c:pt idx="45">
                  <c:v>114.0</c:v>
                </c:pt>
                <c:pt idx="46">
                  <c:v>115.0</c:v>
                </c:pt>
                <c:pt idx="47">
                  <c:v>116.0</c:v>
                </c:pt>
                <c:pt idx="48">
                  <c:v>117.0</c:v>
                </c:pt>
                <c:pt idx="49">
                  <c:v>118.0</c:v>
                </c:pt>
                <c:pt idx="50">
                  <c:v>119.0</c:v>
                </c:pt>
                <c:pt idx="51">
                  <c:v>120.0</c:v>
                </c:pt>
              </c:numCache>
            </c:numRef>
          </c:cat>
          <c:val>
            <c:numRef>
              <c:f>肥満曲線_データ!$K$59:$K$142</c:f>
              <c:numCache>
                <c:formatCode>General</c:formatCode>
                <c:ptCount val="84"/>
                <c:pt idx="0">
                  <c:v>21.98520332850011</c:v>
                </c:pt>
                <c:pt idx="1">
                  <c:v>22.56458962800001</c:v>
                </c:pt>
                <c:pt idx="2">
                  <c:v>23.13680836949994</c:v>
                </c:pt>
                <c:pt idx="3">
                  <c:v>23.70300902399997</c:v>
                </c:pt>
                <c:pt idx="4">
                  <c:v>24.26434106249995</c:v>
                </c:pt>
                <c:pt idx="5">
                  <c:v>24.82195395599994</c:v>
                </c:pt>
                <c:pt idx="6">
                  <c:v>25.37699717549991</c:v>
                </c:pt>
                <c:pt idx="7">
                  <c:v>25.93062019199998</c:v>
                </c:pt>
                <c:pt idx="8">
                  <c:v>26.48397247649994</c:v>
                </c:pt>
                <c:pt idx="9">
                  <c:v>27.03820350000002</c:v>
                </c:pt>
                <c:pt idx="10">
                  <c:v>27.59446273350001</c:v>
                </c:pt>
                <c:pt idx="11">
                  <c:v>28.15389964799995</c:v>
                </c:pt>
                <c:pt idx="12">
                  <c:v>28.71766371450015</c:v>
                </c:pt>
                <c:pt idx="13">
                  <c:v>29.28690440399997</c:v>
                </c:pt>
                <c:pt idx="14">
                  <c:v>29.8627711874998</c:v>
                </c:pt>
                <c:pt idx="15">
                  <c:v>30.44641353600012</c:v>
                </c:pt>
                <c:pt idx="16">
                  <c:v>31.03898092050004</c:v>
                </c:pt>
                <c:pt idx="17">
                  <c:v>31.64162281199985</c:v>
                </c:pt>
                <c:pt idx="18">
                  <c:v>32.25548868150004</c:v>
                </c:pt>
                <c:pt idx="19">
                  <c:v>32.88172799999988</c:v>
                </c:pt>
                <c:pt idx="20">
                  <c:v>33.52149023850002</c:v>
                </c:pt>
                <c:pt idx="21">
                  <c:v>34.17592486800008</c:v>
                </c:pt>
                <c:pt idx="22">
                  <c:v>34.84618135949985</c:v>
                </c:pt>
                <c:pt idx="23">
                  <c:v>35.53340918400006</c:v>
                </c:pt>
                <c:pt idx="24">
                  <c:v>36.23875781250008</c:v>
                </c:pt>
                <c:pt idx="25">
                  <c:v>36.96337671599987</c:v>
                </c:pt>
                <c:pt idx="26">
                  <c:v>37.70841536549998</c:v>
                </c:pt>
                <c:pt idx="27">
                  <c:v>38.47502323199997</c:v>
                </c:pt>
                <c:pt idx="28">
                  <c:v>39.26434978649994</c:v>
                </c:pt>
                <c:pt idx="29">
                  <c:v>40.07754449999997</c:v>
                </c:pt>
                <c:pt idx="30">
                  <c:v>40.9157568435</c:v>
                </c:pt>
                <c:pt idx="31">
                  <c:v>41.78013628799992</c:v>
                </c:pt>
                <c:pt idx="32">
                  <c:v>42.67183230450002</c:v>
                </c:pt>
                <c:pt idx="33">
                  <c:v>43.59199436399994</c:v>
                </c:pt>
                <c:pt idx="34">
                  <c:v>44.54177193749997</c:v>
                </c:pt>
                <c:pt idx="35">
                  <c:v>45.522314496</c:v>
                </c:pt>
                <c:pt idx="36">
                  <c:v>46.53477151049988</c:v>
                </c:pt>
                <c:pt idx="37">
                  <c:v>47.58029245200002</c:v>
                </c:pt>
                <c:pt idx="38">
                  <c:v>48.66002679149996</c:v>
                </c:pt>
                <c:pt idx="39">
                  <c:v>49.74324000000115</c:v>
                </c:pt>
                <c:pt idx="40">
                  <c:v>50.83084371000177</c:v>
                </c:pt>
                <c:pt idx="41">
                  <c:v>52.06167287999915</c:v>
                </c:pt>
                <c:pt idx="42">
                  <c:v>53.41963856999746</c:v>
                </c:pt>
                <c:pt idx="43">
                  <c:v>54.88865184000087</c:v>
                </c:pt>
                <c:pt idx="44">
                  <c:v>56.45262375000266</c:v>
                </c:pt>
                <c:pt idx="45">
                  <c:v>58.09546535999607</c:v>
                </c:pt>
                <c:pt idx="46">
                  <c:v>59.80108773000165</c:v>
                </c:pt>
                <c:pt idx="47">
                  <c:v>61.55340192000176</c:v>
                </c:pt>
                <c:pt idx="48">
                  <c:v>63.53426482349983</c:v>
                </c:pt>
                <c:pt idx="49">
                  <c:v>65.13881249999918</c:v>
                </c:pt>
                <c:pt idx="50">
                  <c:v>66.64623652649993</c:v>
                </c:pt>
                <c:pt idx="51">
                  <c:v>68.06514451199951</c:v>
                </c:pt>
                <c:pt idx="52">
                  <c:v>69.4041440654994</c:v>
                </c:pt>
                <c:pt idx="53">
                  <c:v>70.67184279600247</c:v>
                </c:pt>
                <c:pt idx="54">
                  <c:v>71.87684831250203</c:v>
                </c:pt>
                <c:pt idx="55">
                  <c:v>73.02776822400097</c:v>
                </c:pt>
                <c:pt idx="56">
                  <c:v>74.13321013950213</c:v>
                </c:pt>
                <c:pt idx="57">
                  <c:v>75.2017816680002</c:v>
                </c:pt>
                <c:pt idx="58">
                  <c:v>76.24209041850077</c:v>
                </c:pt>
                <c:pt idx="59">
                  <c:v>77.26274399999988</c:v>
                </c:pt>
                <c:pt idx="60">
                  <c:v>78.27235002149905</c:v>
                </c:pt>
                <c:pt idx="61">
                  <c:v>79.2795160919984</c:v>
                </c:pt>
                <c:pt idx="62">
                  <c:v>80.29284982049808</c:v>
                </c:pt>
                <c:pt idx="63">
                  <c:v>81.32095881600094</c:v>
                </c:pt>
                <c:pt idx="64">
                  <c:v>82.37245068749894</c:v>
                </c:pt>
                <c:pt idx="65">
                  <c:v>83.45593304399904</c:v>
                </c:pt>
                <c:pt idx="66">
                  <c:v>84.58001349450137</c:v>
                </c:pt>
                <c:pt idx="67">
                  <c:v>85.7532996480006</c:v>
                </c:pt>
                <c:pt idx="68">
                  <c:v>86.98439911349965</c:v>
                </c:pt>
                <c:pt idx="69">
                  <c:v>88.28191950000132</c:v>
                </c:pt>
                <c:pt idx="70">
                  <c:v>89.65446841649759</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val>
          <c:smooth val="0"/>
        </c:ser>
        <c:dLbls>
          <c:showLegendKey val="0"/>
          <c:showVal val="0"/>
          <c:showCatName val="0"/>
          <c:showSerName val="0"/>
          <c:showPercent val="0"/>
          <c:showBubbleSize val="0"/>
        </c:dLbls>
        <c:marker val="1"/>
        <c:smooth val="0"/>
        <c:axId val="-884032192"/>
        <c:axId val="-884024896"/>
      </c:lineChart>
      <c:scatterChart>
        <c:scatterStyle val="lineMarker"/>
        <c:varyColors val="0"/>
        <c:ser>
          <c:idx val="0"/>
          <c:order val="8"/>
          <c:tx>
            <c:v>身長・体重</c:v>
          </c:tx>
          <c:spPr>
            <a:ln w="28575">
              <a:noFill/>
            </a:ln>
          </c:spPr>
          <c:marker>
            <c:symbol val="circle"/>
            <c:size val="7"/>
            <c:spPr>
              <a:solidFill>
                <a:srgbClr val="FF0000"/>
              </a:solidFill>
              <a:ln>
                <a:solidFill>
                  <a:schemeClr val="bg1"/>
                </a:solidFill>
              </a:ln>
            </c:spPr>
          </c:marker>
          <c:xVal>
            <c:numRef>
              <c:f>入力!$AJ$7:$AJ$156</c:f>
              <c:numCache>
                <c:formatCode>General</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入力!$AK$7:$AK$156</c:f>
              <c:numCache>
                <c:formatCode>General</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yVal>
          <c:smooth val="0"/>
          <c:extLst/>
        </c:ser>
        <c:dLbls>
          <c:showLegendKey val="0"/>
          <c:showVal val="0"/>
          <c:showCatName val="0"/>
          <c:showSerName val="0"/>
          <c:showPercent val="0"/>
          <c:showBubbleSize val="0"/>
        </c:dLbls>
        <c:axId val="-884032192"/>
        <c:axId val="-884024896"/>
      </c:scatterChart>
      <c:dateAx>
        <c:axId val="-884032192"/>
        <c:scaling>
          <c:orientation val="minMax"/>
          <c:max val="185.0"/>
          <c:min val="100.0"/>
        </c:scaling>
        <c:delete val="0"/>
        <c:axPos val="b"/>
        <c:majorGridlines/>
        <c:minorGridlines/>
        <c:title>
          <c:tx>
            <c:rich>
              <a:bodyPr/>
              <a:lstStyle/>
              <a:p>
                <a:pPr>
                  <a:defRPr/>
                </a:pPr>
                <a:r>
                  <a:rPr lang="ja-JP" altLang="en-US"/>
                  <a:t>身長</a:t>
                </a:r>
                <a:r>
                  <a:rPr lang="en-US" altLang="ja-JP"/>
                  <a:t>(cm)</a:t>
                </a:r>
                <a:endParaRPr lang="ja-JP" altLang="en-US"/>
              </a:p>
            </c:rich>
          </c:tx>
          <c:overlay val="0"/>
        </c:title>
        <c:numFmt formatCode="General" sourceLinked="1"/>
        <c:majorTickMark val="out"/>
        <c:minorTickMark val="none"/>
        <c:tickLblPos val="nextTo"/>
        <c:crossAx val="-884024896"/>
        <c:crosses val="autoZero"/>
        <c:auto val="0"/>
        <c:lblOffset val="100"/>
        <c:baseTimeUnit val="days"/>
        <c:majorUnit val="10.0"/>
        <c:minorUnit val="5.0"/>
        <c:minorTimeUnit val="days"/>
      </c:dateAx>
      <c:valAx>
        <c:axId val="-884024896"/>
        <c:scaling>
          <c:orientation val="minMax"/>
          <c:max val="110.0"/>
          <c:min val="0.0"/>
        </c:scaling>
        <c:delete val="0"/>
        <c:axPos val="l"/>
        <c:majorGridlines/>
        <c:minorGridlines/>
        <c:title>
          <c:tx>
            <c:rich>
              <a:bodyPr rot="0" vert="wordArtVertRtl"/>
              <a:lstStyle/>
              <a:p>
                <a:pPr>
                  <a:defRPr/>
                </a:pPr>
                <a:r>
                  <a:rPr lang="ja-JP" altLang="en-US"/>
                  <a:t>体重</a:t>
                </a:r>
                <a:r>
                  <a:rPr lang="en-US" altLang="ja-JP"/>
                  <a:t>(</a:t>
                </a:r>
                <a:r>
                  <a:rPr lang="en-US" altLang="en-US"/>
                  <a:t>kg)</a:t>
                </a:r>
              </a:p>
            </c:rich>
          </c:tx>
          <c:layout>
            <c:manualLayout>
              <c:xMode val="edge"/>
              <c:yMode val="edge"/>
              <c:x val="0.0455754967565991"/>
              <c:y val="0.449687299021397"/>
            </c:manualLayout>
          </c:layout>
          <c:overlay val="0"/>
        </c:title>
        <c:numFmt formatCode="General" sourceLinked="1"/>
        <c:majorTickMark val="out"/>
        <c:minorTickMark val="none"/>
        <c:tickLblPos val="nextTo"/>
        <c:crossAx val="-884032192"/>
        <c:crosses val="autoZero"/>
        <c:crossBetween val="midCat"/>
        <c:majorUnit val="10.0"/>
        <c:minorUnit val="5.0"/>
      </c:valAx>
    </c:plotArea>
    <c:plotVisOnly val="1"/>
    <c:dispBlanksAs val="zero"/>
    <c:showDLblsOverMax val="0"/>
  </c:chart>
  <c:printSettings>
    <c:headerFooter/>
    <c:pageMargins b="0.750000000000002" l="0.700000000000001" r="0.700000000000001" t="0.750000000000002"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頭囲データ!$A$6</c:f>
          <c:strCache>
            <c:ptCount val="1"/>
            <c:pt idx="0">
              <c:v>乳児（子）身体発育曲線（頭囲）</c:v>
            </c:pt>
          </c:strCache>
        </c:strRef>
      </c:tx>
      <c:overlay val="0"/>
      <c:txPr>
        <a:bodyPr/>
        <a:lstStyle/>
        <a:p>
          <a:pPr>
            <a:defRPr sz="1600"/>
          </a:pPr>
          <a:endParaRPr lang="ja-JP"/>
        </a:p>
      </c:txPr>
    </c:title>
    <c:autoTitleDeleted val="0"/>
    <c:plotArea>
      <c:layout>
        <c:manualLayout>
          <c:layoutTarget val="inner"/>
          <c:xMode val="edge"/>
          <c:yMode val="edge"/>
          <c:x val="0.125793055555556"/>
          <c:y val="0.11386568627451"/>
          <c:w val="0.738643518518521"/>
          <c:h val="0.760571568627451"/>
        </c:manualLayout>
      </c:layout>
      <c:scatterChart>
        <c:scatterStyle val="lineMarker"/>
        <c:varyColors val="0"/>
        <c:ser>
          <c:idx val="0"/>
          <c:order val="0"/>
          <c:tx>
            <c:strRef>
              <c:f>頭囲データ!$I$9</c:f>
              <c:strCache>
                <c:ptCount val="1"/>
                <c:pt idx="0">
                  <c:v>3%tile</c:v>
                </c:pt>
              </c:strCache>
            </c:strRef>
          </c:tx>
          <c:spPr>
            <a:ln w="9525">
              <a:solidFill>
                <a:schemeClr val="tx1"/>
              </a:solidFill>
            </a:ln>
          </c:spPr>
          <c:marker>
            <c:symbol val="none"/>
          </c:marker>
          <c:dLbls>
            <c:dLbl>
              <c:idx val="13"/>
              <c:layout>
                <c:manualLayout>
                  <c:x val="0.0264583333333333"/>
                  <c:y val="0.0"/>
                </c:manualLayout>
              </c:layout>
              <c:tx>
                <c:strRef>
                  <c:f>頭囲データ!$I$9</c:f>
                  <c:strCache>
                    <c:ptCount val="1"/>
                    <c:pt idx="0">
                      <c:v>3%tile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{3ED57447-6689-ED45-85BA-427FFCAB9B47}</c15:txfldGUID>
                      <c15:f>頭囲データ!$I$9</c15:f>
                      <c15:dlblFieldTableCache>
                        <c:ptCount val="1"/>
                        <c:pt idx="0">
                          <c:v>3%tile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頭囲データ!$H$10:$H$24</c:f>
              <c:numCache>
                <c:formatCode>General</c:formatCode>
                <c:ptCount val="15"/>
                <c:pt idx="0">
                  <c:v>0.0</c:v>
                </c:pt>
                <c:pt idx="1">
                  <c:v>0.166666666666667</c:v>
                </c:pt>
                <c:pt idx="2">
                  <c:v>1.0</c:v>
                </c:pt>
                <c:pt idx="3">
                  <c:v>1.5</c:v>
                </c:pt>
                <c:pt idx="4">
                  <c:v>2.5</c:v>
                </c:pt>
                <c:pt idx="5">
                  <c:v>3.5</c:v>
                </c:pt>
                <c:pt idx="6">
                  <c:v>4.5</c:v>
                </c:pt>
                <c:pt idx="7">
                  <c:v>5.5</c:v>
                </c:pt>
                <c:pt idx="8">
                  <c:v>6.5</c:v>
                </c:pt>
                <c:pt idx="9">
                  <c:v>7.5</c:v>
                </c:pt>
                <c:pt idx="10">
                  <c:v>8.5</c:v>
                </c:pt>
                <c:pt idx="11">
                  <c:v>9.5</c:v>
                </c:pt>
                <c:pt idx="12">
                  <c:v>10.5</c:v>
                </c:pt>
                <c:pt idx="13">
                  <c:v>11.5</c:v>
                </c:pt>
                <c:pt idx="14">
                  <c:v>12.5</c:v>
                </c:pt>
              </c:numCache>
            </c:numRef>
          </c:xVal>
          <c:yVal>
            <c:numRef>
              <c:f>頭囲データ!$I$10:$I$24</c:f>
              <c:numCache>
                <c:formatCode>General</c:formatCode>
                <c:ptCount val="15"/>
                <c:pt idx="0">
                  <c:v>30.4</c:v>
                </c:pt>
                <c:pt idx="1">
                  <c:v>30.4</c:v>
                </c:pt>
                <c:pt idx="2">
                  <c:v>33.5</c:v>
                </c:pt>
                <c:pt idx="3">
                  <c:v>34.8</c:v>
                </c:pt>
                <c:pt idx="4">
                  <c:v>36.5</c:v>
                </c:pt>
                <c:pt idx="5">
                  <c:v>37.8</c:v>
                </c:pt>
                <c:pt idx="6">
                  <c:v>38.8</c:v>
                </c:pt>
                <c:pt idx="7">
                  <c:v>39.6</c:v>
                </c:pt>
                <c:pt idx="8">
                  <c:v>40.3</c:v>
                </c:pt>
                <c:pt idx="9">
                  <c:v>40.8</c:v>
                </c:pt>
                <c:pt idx="10">
                  <c:v>41.3</c:v>
                </c:pt>
                <c:pt idx="11">
                  <c:v>41.6</c:v>
                </c:pt>
                <c:pt idx="12">
                  <c:v>41.9</c:v>
                </c:pt>
                <c:pt idx="13">
                  <c:v>42.2</c:v>
                </c:pt>
                <c:pt idx="14">
                  <c:v>42.5</c:v>
                </c:pt>
              </c:numCache>
            </c:numRef>
          </c:yVal>
          <c:smooth val="0"/>
        </c:ser>
        <c:ser>
          <c:idx val="1"/>
          <c:order val="1"/>
          <c:tx>
            <c:strRef>
              <c:f>頭囲データ!$J$9</c:f>
              <c:strCache>
                <c:ptCount val="1"/>
                <c:pt idx="0">
                  <c:v>10%tile</c:v>
                </c:pt>
              </c:strCache>
            </c:strRef>
          </c:tx>
          <c:spPr>
            <a:ln w="9525">
              <a:solidFill>
                <a:schemeClr val="tx1"/>
              </a:solidFill>
            </a:ln>
          </c:spPr>
          <c:marker>
            <c:symbol val="none"/>
          </c:marker>
          <c:dLbls>
            <c:dLbl>
              <c:idx val="13"/>
              <c:layout>
                <c:manualLayout>
                  <c:x val="0.0235185185185185"/>
                  <c:y val="-0.00622565359477126"/>
                </c:manualLayout>
              </c:layout>
              <c:tx>
                <c:strRef>
                  <c:f>頭囲データ!$J$9</c:f>
                  <c:strCache>
                    <c:ptCount val="1"/>
                    <c:pt idx="0">
                      <c:v>10%tile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{F0BF9CBC-F04D-E64C-8AF8-D1F5AE31CFA4}</c15:txfldGUID>
                      <c15:f>頭囲データ!$J$9</c15:f>
                      <c15:dlblFieldTableCache>
                        <c:ptCount val="1"/>
                        <c:pt idx="0">
                          <c:v>10%tile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頭囲データ!$H$10:$H$24</c:f>
              <c:numCache>
                <c:formatCode>General</c:formatCode>
                <c:ptCount val="15"/>
                <c:pt idx="0">
                  <c:v>0.0</c:v>
                </c:pt>
                <c:pt idx="1">
                  <c:v>0.166666666666667</c:v>
                </c:pt>
                <c:pt idx="2">
                  <c:v>1.0</c:v>
                </c:pt>
                <c:pt idx="3">
                  <c:v>1.5</c:v>
                </c:pt>
                <c:pt idx="4">
                  <c:v>2.5</c:v>
                </c:pt>
                <c:pt idx="5">
                  <c:v>3.5</c:v>
                </c:pt>
                <c:pt idx="6">
                  <c:v>4.5</c:v>
                </c:pt>
                <c:pt idx="7">
                  <c:v>5.5</c:v>
                </c:pt>
                <c:pt idx="8">
                  <c:v>6.5</c:v>
                </c:pt>
                <c:pt idx="9">
                  <c:v>7.5</c:v>
                </c:pt>
                <c:pt idx="10">
                  <c:v>8.5</c:v>
                </c:pt>
                <c:pt idx="11">
                  <c:v>9.5</c:v>
                </c:pt>
                <c:pt idx="12">
                  <c:v>10.5</c:v>
                </c:pt>
                <c:pt idx="13">
                  <c:v>11.5</c:v>
                </c:pt>
                <c:pt idx="14">
                  <c:v>12.5</c:v>
                </c:pt>
              </c:numCache>
            </c:numRef>
          </c:xVal>
          <c:yVal>
            <c:numRef>
              <c:f>頭囲データ!$J$10:$J$24</c:f>
              <c:numCache>
                <c:formatCode>General</c:formatCode>
                <c:ptCount val="15"/>
                <c:pt idx="0">
                  <c:v>31.3</c:v>
                </c:pt>
                <c:pt idx="1">
                  <c:v>31.3</c:v>
                </c:pt>
                <c:pt idx="2">
                  <c:v>34.4</c:v>
                </c:pt>
                <c:pt idx="3">
                  <c:v>35.6</c:v>
                </c:pt>
                <c:pt idx="4">
                  <c:v>37.2</c:v>
                </c:pt>
                <c:pt idx="5">
                  <c:v>38.5</c:v>
                </c:pt>
                <c:pt idx="6">
                  <c:v>39.5</c:v>
                </c:pt>
                <c:pt idx="7">
                  <c:v>40.3</c:v>
                </c:pt>
                <c:pt idx="8">
                  <c:v>41.0</c:v>
                </c:pt>
                <c:pt idx="9">
                  <c:v>41.5</c:v>
                </c:pt>
                <c:pt idx="10">
                  <c:v>42.0</c:v>
                </c:pt>
                <c:pt idx="11">
                  <c:v>42.4</c:v>
                </c:pt>
                <c:pt idx="12">
                  <c:v>42.7</c:v>
                </c:pt>
                <c:pt idx="13">
                  <c:v>43.0</c:v>
                </c:pt>
                <c:pt idx="14">
                  <c:v>43.3</c:v>
                </c:pt>
              </c:numCache>
            </c:numRef>
          </c:yVal>
          <c:smooth val="0"/>
        </c:ser>
        <c:ser>
          <c:idx val="2"/>
          <c:order val="2"/>
          <c:tx>
            <c:strRef>
              <c:f>頭囲データ!$K$9</c:f>
              <c:strCache>
                <c:ptCount val="1"/>
                <c:pt idx="0">
                  <c:v>25%tile</c:v>
                </c:pt>
              </c:strCache>
            </c:strRef>
          </c:tx>
          <c:spPr>
            <a:ln w="9525">
              <a:solidFill>
                <a:schemeClr val="tx1"/>
              </a:solidFill>
            </a:ln>
          </c:spPr>
          <c:marker>
            <c:symbol val="none"/>
          </c:marker>
          <c:dLbls>
            <c:dLbl>
              <c:idx val="13"/>
              <c:layout>
                <c:manualLayout>
                  <c:x val="0.0235185185185185"/>
                  <c:y val="-0.00830065359477127"/>
                </c:manualLayout>
              </c:layout>
              <c:tx>
                <c:strRef>
                  <c:f>頭囲データ!$K$9</c:f>
                  <c:strCache>
                    <c:ptCount val="1"/>
                    <c:pt idx="0">
                      <c:v>25%tile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{9A7B4A59-482A-E440-943C-EB98F29D8CF5}</c15:txfldGUID>
                      <c15:f>頭囲データ!$K$9</c15:f>
                      <c15:dlblFieldTableCache>
                        <c:ptCount val="1"/>
                        <c:pt idx="0">
                          <c:v>25%tile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頭囲データ!$H$10:$H$24</c:f>
              <c:numCache>
                <c:formatCode>General</c:formatCode>
                <c:ptCount val="15"/>
                <c:pt idx="0">
                  <c:v>0.0</c:v>
                </c:pt>
                <c:pt idx="1">
                  <c:v>0.166666666666667</c:v>
                </c:pt>
                <c:pt idx="2">
                  <c:v>1.0</c:v>
                </c:pt>
                <c:pt idx="3">
                  <c:v>1.5</c:v>
                </c:pt>
                <c:pt idx="4">
                  <c:v>2.5</c:v>
                </c:pt>
                <c:pt idx="5">
                  <c:v>3.5</c:v>
                </c:pt>
                <c:pt idx="6">
                  <c:v>4.5</c:v>
                </c:pt>
                <c:pt idx="7">
                  <c:v>5.5</c:v>
                </c:pt>
                <c:pt idx="8">
                  <c:v>6.5</c:v>
                </c:pt>
                <c:pt idx="9">
                  <c:v>7.5</c:v>
                </c:pt>
                <c:pt idx="10">
                  <c:v>8.5</c:v>
                </c:pt>
                <c:pt idx="11">
                  <c:v>9.5</c:v>
                </c:pt>
                <c:pt idx="12">
                  <c:v>10.5</c:v>
                </c:pt>
                <c:pt idx="13">
                  <c:v>11.5</c:v>
                </c:pt>
                <c:pt idx="14">
                  <c:v>12.5</c:v>
                </c:pt>
              </c:numCache>
            </c:numRef>
          </c:xVal>
          <c:yVal>
            <c:numRef>
              <c:f>頭囲データ!$K$10:$K$24</c:f>
              <c:numCache>
                <c:formatCode>General</c:formatCode>
                <c:ptCount val="15"/>
                <c:pt idx="0">
                  <c:v>32.2</c:v>
                </c:pt>
                <c:pt idx="1">
                  <c:v>32.2</c:v>
                </c:pt>
                <c:pt idx="2">
                  <c:v>35.2</c:v>
                </c:pt>
                <c:pt idx="3">
                  <c:v>36.3</c:v>
                </c:pt>
                <c:pt idx="4">
                  <c:v>37.9</c:v>
                </c:pt>
                <c:pt idx="5">
                  <c:v>39.3</c:v>
                </c:pt>
                <c:pt idx="6">
                  <c:v>40.3</c:v>
                </c:pt>
                <c:pt idx="7">
                  <c:v>41.1</c:v>
                </c:pt>
                <c:pt idx="8">
                  <c:v>41.8</c:v>
                </c:pt>
                <c:pt idx="9">
                  <c:v>42.3</c:v>
                </c:pt>
                <c:pt idx="10">
                  <c:v>42.8</c:v>
                </c:pt>
                <c:pt idx="11">
                  <c:v>43.1</c:v>
                </c:pt>
                <c:pt idx="12">
                  <c:v>43.5</c:v>
                </c:pt>
                <c:pt idx="13">
                  <c:v>43.8</c:v>
                </c:pt>
                <c:pt idx="14">
                  <c:v>44.1</c:v>
                </c:pt>
              </c:numCache>
            </c:numRef>
          </c:yVal>
          <c:smooth val="0"/>
        </c:ser>
        <c:ser>
          <c:idx val="3"/>
          <c:order val="3"/>
          <c:tx>
            <c:strRef>
              <c:f>頭囲データ!$L$9</c:f>
              <c:strCache>
                <c:ptCount val="1"/>
                <c:pt idx="0">
                  <c:v>50%tile</c:v>
                </c:pt>
              </c:strCache>
            </c:strRef>
          </c:tx>
          <c:spPr>
            <a:ln w="19050">
              <a:solidFill>
                <a:schemeClr val="tx1"/>
              </a:solidFill>
            </a:ln>
          </c:spPr>
          <c:marker>
            <c:symbol val="none"/>
          </c:marker>
          <c:dLbls>
            <c:dLbl>
              <c:idx val="13"/>
              <c:layout>
                <c:manualLayout>
                  <c:x val="0.0235185185185185"/>
                  <c:y val="-0.00622549019607843"/>
                </c:manualLayout>
              </c:layout>
              <c:tx>
                <c:strRef>
                  <c:f>頭囲データ!$L$9</c:f>
                  <c:strCache>
                    <c:ptCount val="1"/>
                    <c:pt idx="0">
                      <c:v>50%tile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{47FE40C0-30E0-5340-9D76-A353E5A742DC}</c15:txfldGUID>
                      <c15:f>頭囲データ!$L$9</c15:f>
                      <c15:dlblFieldTableCache>
                        <c:ptCount val="1"/>
                        <c:pt idx="0">
                          <c:v>50%tile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頭囲データ!$H$10:$H$24</c:f>
              <c:numCache>
                <c:formatCode>General</c:formatCode>
                <c:ptCount val="15"/>
                <c:pt idx="0">
                  <c:v>0.0</c:v>
                </c:pt>
                <c:pt idx="1">
                  <c:v>0.166666666666667</c:v>
                </c:pt>
                <c:pt idx="2">
                  <c:v>1.0</c:v>
                </c:pt>
                <c:pt idx="3">
                  <c:v>1.5</c:v>
                </c:pt>
                <c:pt idx="4">
                  <c:v>2.5</c:v>
                </c:pt>
                <c:pt idx="5">
                  <c:v>3.5</c:v>
                </c:pt>
                <c:pt idx="6">
                  <c:v>4.5</c:v>
                </c:pt>
                <c:pt idx="7">
                  <c:v>5.5</c:v>
                </c:pt>
                <c:pt idx="8">
                  <c:v>6.5</c:v>
                </c:pt>
                <c:pt idx="9">
                  <c:v>7.5</c:v>
                </c:pt>
                <c:pt idx="10">
                  <c:v>8.5</c:v>
                </c:pt>
                <c:pt idx="11">
                  <c:v>9.5</c:v>
                </c:pt>
                <c:pt idx="12">
                  <c:v>10.5</c:v>
                </c:pt>
                <c:pt idx="13">
                  <c:v>11.5</c:v>
                </c:pt>
                <c:pt idx="14">
                  <c:v>12.5</c:v>
                </c:pt>
              </c:numCache>
            </c:numRef>
          </c:xVal>
          <c:yVal>
            <c:numRef>
              <c:f>頭囲データ!$L$10:$L$24</c:f>
              <c:numCache>
                <c:formatCode>General</c:formatCode>
                <c:ptCount val="15"/>
                <c:pt idx="0">
                  <c:v>33.0</c:v>
                </c:pt>
                <c:pt idx="1">
                  <c:v>33.0</c:v>
                </c:pt>
                <c:pt idx="2">
                  <c:v>36.0</c:v>
                </c:pt>
                <c:pt idx="3">
                  <c:v>37.1</c:v>
                </c:pt>
                <c:pt idx="4">
                  <c:v>38.8</c:v>
                </c:pt>
                <c:pt idx="5">
                  <c:v>40.1</c:v>
                </c:pt>
                <c:pt idx="6">
                  <c:v>41.1</c:v>
                </c:pt>
                <c:pt idx="7">
                  <c:v>41.9</c:v>
                </c:pt>
                <c:pt idx="8">
                  <c:v>42.6</c:v>
                </c:pt>
                <c:pt idx="9">
                  <c:v>43.1</c:v>
                </c:pt>
                <c:pt idx="10">
                  <c:v>43.6</c:v>
                </c:pt>
                <c:pt idx="11">
                  <c:v>44.0</c:v>
                </c:pt>
                <c:pt idx="12">
                  <c:v>44.4</c:v>
                </c:pt>
                <c:pt idx="13">
                  <c:v>44.7</c:v>
                </c:pt>
                <c:pt idx="14">
                  <c:v>45.0</c:v>
                </c:pt>
              </c:numCache>
            </c:numRef>
          </c:yVal>
          <c:smooth val="0"/>
        </c:ser>
        <c:ser>
          <c:idx val="4"/>
          <c:order val="4"/>
          <c:tx>
            <c:strRef>
              <c:f>頭囲データ!$M$9</c:f>
              <c:strCache>
                <c:ptCount val="1"/>
                <c:pt idx="0">
                  <c:v>75%tile</c:v>
                </c:pt>
              </c:strCache>
            </c:strRef>
          </c:tx>
          <c:spPr>
            <a:ln w="9525">
              <a:solidFill>
                <a:schemeClr val="tx1"/>
              </a:solidFill>
            </a:ln>
          </c:spPr>
          <c:marker>
            <c:symbol val="none"/>
          </c:marker>
          <c:dLbls>
            <c:dLbl>
              <c:idx val="13"/>
              <c:layout>
                <c:manualLayout>
                  <c:x val="0.0205787037037037"/>
                  <c:y val="-0.00830065359477127"/>
                </c:manualLayout>
              </c:layout>
              <c:tx>
                <c:strRef>
                  <c:f>頭囲データ!$M$9</c:f>
                  <c:strCache>
                    <c:ptCount val="1"/>
                    <c:pt idx="0">
                      <c:v>75%tile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{7DD62617-969E-AE43-81F2-E21D049F10F4}</c15:txfldGUID>
                      <c15:f>頭囲データ!$M$9</c15:f>
                      <c15:dlblFieldTableCache>
                        <c:ptCount val="1"/>
                        <c:pt idx="0">
                          <c:v>75%tile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頭囲データ!$H$10:$H$24</c:f>
              <c:numCache>
                <c:formatCode>General</c:formatCode>
                <c:ptCount val="15"/>
                <c:pt idx="0">
                  <c:v>0.0</c:v>
                </c:pt>
                <c:pt idx="1">
                  <c:v>0.166666666666667</c:v>
                </c:pt>
                <c:pt idx="2">
                  <c:v>1.0</c:v>
                </c:pt>
                <c:pt idx="3">
                  <c:v>1.5</c:v>
                </c:pt>
                <c:pt idx="4">
                  <c:v>2.5</c:v>
                </c:pt>
                <c:pt idx="5">
                  <c:v>3.5</c:v>
                </c:pt>
                <c:pt idx="6">
                  <c:v>4.5</c:v>
                </c:pt>
                <c:pt idx="7">
                  <c:v>5.5</c:v>
                </c:pt>
                <c:pt idx="8">
                  <c:v>6.5</c:v>
                </c:pt>
                <c:pt idx="9">
                  <c:v>7.5</c:v>
                </c:pt>
                <c:pt idx="10">
                  <c:v>8.5</c:v>
                </c:pt>
                <c:pt idx="11">
                  <c:v>9.5</c:v>
                </c:pt>
                <c:pt idx="12">
                  <c:v>10.5</c:v>
                </c:pt>
                <c:pt idx="13">
                  <c:v>11.5</c:v>
                </c:pt>
                <c:pt idx="14">
                  <c:v>12.5</c:v>
                </c:pt>
              </c:numCache>
            </c:numRef>
          </c:xVal>
          <c:yVal>
            <c:numRef>
              <c:f>頭囲データ!$M$10:$M$24</c:f>
              <c:numCache>
                <c:formatCode>General</c:formatCode>
                <c:ptCount val="15"/>
                <c:pt idx="0">
                  <c:v>33.8</c:v>
                </c:pt>
                <c:pt idx="1">
                  <c:v>33.8</c:v>
                </c:pt>
                <c:pt idx="2">
                  <c:v>36.8</c:v>
                </c:pt>
                <c:pt idx="3">
                  <c:v>37.9</c:v>
                </c:pt>
                <c:pt idx="4">
                  <c:v>39.6</c:v>
                </c:pt>
                <c:pt idx="5">
                  <c:v>40.9</c:v>
                </c:pt>
                <c:pt idx="6">
                  <c:v>41.9</c:v>
                </c:pt>
                <c:pt idx="7">
                  <c:v>42.7</c:v>
                </c:pt>
                <c:pt idx="8">
                  <c:v>43.4</c:v>
                </c:pt>
                <c:pt idx="9">
                  <c:v>44.0</c:v>
                </c:pt>
                <c:pt idx="10">
                  <c:v>44.5</c:v>
                </c:pt>
                <c:pt idx="11">
                  <c:v>44.9</c:v>
                </c:pt>
                <c:pt idx="12">
                  <c:v>45.3</c:v>
                </c:pt>
                <c:pt idx="13">
                  <c:v>45.6</c:v>
                </c:pt>
                <c:pt idx="14">
                  <c:v>46.0</c:v>
                </c:pt>
              </c:numCache>
            </c:numRef>
          </c:yVal>
          <c:smooth val="0"/>
        </c:ser>
        <c:ser>
          <c:idx val="5"/>
          <c:order val="5"/>
          <c:tx>
            <c:strRef>
              <c:f>頭囲データ!$N$9</c:f>
              <c:strCache>
                <c:ptCount val="1"/>
                <c:pt idx="0">
                  <c:v>90%tile</c:v>
                </c:pt>
              </c:strCache>
            </c:strRef>
          </c:tx>
          <c:spPr>
            <a:ln w="9525">
              <a:solidFill>
                <a:schemeClr val="tx1"/>
              </a:solidFill>
            </a:ln>
          </c:spPr>
          <c:marker>
            <c:symbol val="none"/>
          </c:marker>
          <c:dLbls>
            <c:dLbl>
              <c:idx val="13"/>
              <c:layout>
                <c:manualLayout>
                  <c:x val="0.0235185185185185"/>
                  <c:y val="-0.0103759803921569"/>
                </c:manualLayout>
              </c:layout>
              <c:tx>
                <c:strRef>
                  <c:f>頭囲データ!$N$9</c:f>
                  <c:strCache>
                    <c:ptCount val="1"/>
                    <c:pt idx="0">
                      <c:v>90%tile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{1369CCFF-C641-F644-A7DC-9321A140C2BA}</c15:txfldGUID>
                      <c15:f>頭囲データ!$N$9</c15:f>
                      <c15:dlblFieldTableCache>
                        <c:ptCount val="1"/>
                        <c:pt idx="0">
                          <c:v>90%tile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頭囲データ!$H$10:$H$24</c:f>
              <c:numCache>
                <c:formatCode>General</c:formatCode>
                <c:ptCount val="15"/>
                <c:pt idx="0">
                  <c:v>0.0</c:v>
                </c:pt>
                <c:pt idx="1">
                  <c:v>0.166666666666667</c:v>
                </c:pt>
                <c:pt idx="2">
                  <c:v>1.0</c:v>
                </c:pt>
                <c:pt idx="3">
                  <c:v>1.5</c:v>
                </c:pt>
                <c:pt idx="4">
                  <c:v>2.5</c:v>
                </c:pt>
                <c:pt idx="5">
                  <c:v>3.5</c:v>
                </c:pt>
                <c:pt idx="6">
                  <c:v>4.5</c:v>
                </c:pt>
                <c:pt idx="7">
                  <c:v>5.5</c:v>
                </c:pt>
                <c:pt idx="8">
                  <c:v>6.5</c:v>
                </c:pt>
                <c:pt idx="9">
                  <c:v>7.5</c:v>
                </c:pt>
                <c:pt idx="10">
                  <c:v>8.5</c:v>
                </c:pt>
                <c:pt idx="11">
                  <c:v>9.5</c:v>
                </c:pt>
                <c:pt idx="12">
                  <c:v>10.5</c:v>
                </c:pt>
                <c:pt idx="13">
                  <c:v>11.5</c:v>
                </c:pt>
                <c:pt idx="14">
                  <c:v>12.5</c:v>
                </c:pt>
              </c:numCache>
            </c:numRef>
          </c:xVal>
          <c:yVal>
            <c:numRef>
              <c:f>頭囲データ!$N$10:$N$24</c:f>
              <c:numCache>
                <c:formatCode>General</c:formatCode>
                <c:ptCount val="15"/>
                <c:pt idx="0">
                  <c:v>34.6</c:v>
                </c:pt>
                <c:pt idx="1">
                  <c:v>34.6</c:v>
                </c:pt>
                <c:pt idx="2">
                  <c:v>37.6</c:v>
                </c:pt>
                <c:pt idx="3">
                  <c:v>38.7</c:v>
                </c:pt>
                <c:pt idx="4">
                  <c:v>40.3</c:v>
                </c:pt>
                <c:pt idx="5">
                  <c:v>41.6</c:v>
                </c:pt>
                <c:pt idx="6">
                  <c:v>42.6</c:v>
                </c:pt>
                <c:pt idx="7">
                  <c:v>43.5</c:v>
                </c:pt>
                <c:pt idx="8">
                  <c:v>44.2</c:v>
                </c:pt>
                <c:pt idx="9">
                  <c:v>44.7</c:v>
                </c:pt>
                <c:pt idx="10">
                  <c:v>45.2</c:v>
                </c:pt>
                <c:pt idx="11">
                  <c:v>45.7</c:v>
                </c:pt>
                <c:pt idx="12">
                  <c:v>46.1</c:v>
                </c:pt>
                <c:pt idx="13">
                  <c:v>46.5</c:v>
                </c:pt>
                <c:pt idx="14">
                  <c:v>46.9</c:v>
                </c:pt>
              </c:numCache>
            </c:numRef>
          </c:yVal>
          <c:smooth val="0"/>
        </c:ser>
        <c:ser>
          <c:idx val="6"/>
          <c:order val="6"/>
          <c:tx>
            <c:strRef>
              <c:f>頭囲データ!$O$9</c:f>
              <c:strCache>
                <c:ptCount val="1"/>
                <c:pt idx="0">
                  <c:v>97%tile</c:v>
                </c:pt>
              </c:strCache>
            </c:strRef>
          </c:tx>
          <c:spPr>
            <a:ln w="9525">
              <a:solidFill>
                <a:prstClr val="black"/>
              </a:solidFill>
            </a:ln>
          </c:spPr>
          <c:marker>
            <c:symbol val="none"/>
          </c:marker>
          <c:dLbls>
            <c:dLbl>
              <c:idx val="13"/>
              <c:layout>
                <c:manualLayout>
                  <c:x val="0.0264583333333333"/>
                  <c:y val="-0.0103758169934641"/>
                </c:manualLayout>
              </c:layout>
              <c:tx>
                <c:strRef>
                  <c:f>頭囲データ!$O$9</c:f>
                  <c:strCache>
                    <c:ptCount val="1"/>
                    <c:pt idx="0">
                      <c:v>97%tile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{028E07AB-E7B1-DC4E-BED1-47046F0AFE5B}</c15:txfldGUID>
                      <c15:f>頭囲データ!$O$9</c15:f>
                      <c15:dlblFieldTableCache>
                        <c:ptCount val="1"/>
                        <c:pt idx="0">
                          <c:v>97%tile</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頭囲データ!$H$10:$H$24</c:f>
              <c:numCache>
                <c:formatCode>General</c:formatCode>
                <c:ptCount val="15"/>
                <c:pt idx="0">
                  <c:v>0.0</c:v>
                </c:pt>
                <c:pt idx="1">
                  <c:v>0.166666666666667</c:v>
                </c:pt>
                <c:pt idx="2">
                  <c:v>1.0</c:v>
                </c:pt>
                <c:pt idx="3">
                  <c:v>1.5</c:v>
                </c:pt>
                <c:pt idx="4">
                  <c:v>2.5</c:v>
                </c:pt>
                <c:pt idx="5">
                  <c:v>3.5</c:v>
                </c:pt>
                <c:pt idx="6">
                  <c:v>4.5</c:v>
                </c:pt>
                <c:pt idx="7">
                  <c:v>5.5</c:v>
                </c:pt>
                <c:pt idx="8">
                  <c:v>6.5</c:v>
                </c:pt>
                <c:pt idx="9">
                  <c:v>7.5</c:v>
                </c:pt>
                <c:pt idx="10">
                  <c:v>8.5</c:v>
                </c:pt>
                <c:pt idx="11">
                  <c:v>9.5</c:v>
                </c:pt>
                <c:pt idx="12">
                  <c:v>10.5</c:v>
                </c:pt>
                <c:pt idx="13">
                  <c:v>11.5</c:v>
                </c:pt>
                <c:pt idx="14">
                  <c:v>12.5</c:v>
                </c:pt>
              </c:numCache>
            </c:numRef>
          </c:xVal>
          <c:yVal>
            <c:numRef>
              <c:f>頭囲データ!$O$10:$O$24</c:f>
              <c:numCache>
                <c:formatCode>General</c:formatCode>
                <c:ptCount val="15"/>
                <c:pt idx="0">
                  <c:v>35.3</c:v>
                </c:pt>
                <c:pt idx="1">
                  <c:v>35.3</c:v>
                </c:pt>
                <c:pt idx="2">
                  <c:v>38.3</c:v>
                </c:pt>
                <c:pt idx="3">
                  <c:v>39.4</c:v>
                </c:pt>
                <c:pt idx="4">
                  <c:v>41.1</c:v>
                </c:pt>
                <c:pt idx="5">
                  <c:v>42.4</c:v>
                </c:pt>
                <c:pt idx="6">
                  <c:v>43.4</c:v>
                </c:pt>
                <c:pt idx="7">
                  <c:v>44.2</c:v>
                </c:pt>
                <c:pt idx="8">
                  <c:v>44.9</c:v>
                </c:pt>
                <c:pt idx="9">
                  <c:v>45.4</c:v>
                </c:pt>
                <c:pt idx="10">
                  <c:v>46.0</c:v>
                </c:pt>
                <c:pt idx="11">
                  <c:v>46.4</c:v>
                </c:pt>
                <c:pt idx="12">
                  <c:v>46.9</c:v>
                </c:pt>
                <c:pt idx="13">
                  <c:v>47.3</c:v>
                </c:pt>
                <c:pt idx="14">
                  <c:v>47.7</c:v>
                </c:pt>
              </c:numCache>
            </c:numRef>
          </c:yVal>
          <c:smooth val="0"/>
        </c:ser>
        <c:ser>
          <c:idx val="7"/>
          <c:order val="7"/>
          <c:tx>
            <c:strRef>
              <c:f>入力!$B$1</c:f>
              <c:strCache>
                <c:ptCount val="1"/>
              </c:strCache>
            </c:strRef>
          </c:tx>
          <c:spPr>
            <a:ln w="28575">
              <a:noFill/>
            </a:ln>
          </c:spPr>
          <c:marker>
            <c:symbol val="circle"/>
            <c:size val="7"/>
            <c:spPr>
              <a:solidFill>
                <a:srgbClr val="FF0000"/>
              </a:solidFill>
              <a:ln>
                <a:solidFill>
                  <a:schemeClr val="bg1"/>
                </a:solidFill>
              </a:ln>
            </c:spPr>
          </c:marker>
          <c:xVal>
            <c:numRef>
              <c:f>入力!$AL$7:$AL$156</c:f>
              <c:numCache>
                <c:formatCode>0.0_ </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Cache>
            </c:numRef>
          </c:xVal>
          <c:yVal>
            <c:numRef>
              <c:f>入力!$D$7:$D$156</c:f>
              <c:numCache>
                <c:formatCode>General</c:formatCode>
                <c:ptCount val="150"/>
              </c:numCache>
            </c:numRef>
          </c:yVal>
          <c:smooth val="0"/>
        </c:ser>
        <c:dLbls>
          <c:showLegendKey val="0"/>
          <c:showVal val="0"/>
          <c:showCatName val="0"/>
          <c:showSerName val="0"/>
          <c:showPercent val="0"/>
          <c:showBubbleSize val="0"/>
        </c:dLbls>
        <c:axId val="-932399632"/>
        <c:axId val="-932384960"/>
      </c:scatterChart>
      <c:valAx>
        <c:axId val="-932399632"/>
        <c:scaling>
          <c:orientation val="minMax"/>
          <c:max val="12.0"/>
          <c:min val="0.0"/>
        </c:scaling>
        <c:delete val="0"/>
        <c:axPos val="b"/>
        <c:majorGridlines/>
        <c:title>
          <c:tx>
            <c:rich>
              <a:bodyPr/>
              <a:lstStyle/>
              <a:p>
                <a:pPr>
                  <a:defRPr/>
                </a:pPr>
                <a:r>
                  <a:rPr lang="ja-JP" altLang="en-US"/>
                  <a:t>月齢</a:t>
                </a:r>
                <a:r>
                  <a:rPr lang="en-US" altLang="ja-JP"/>
                  <a:t>(</a:t>
                </a:r>
                <a:r>
                  <a:rPr lang="ja-JP" altLang="en-US"/>
                  <a:t>カ月</a:t>
                </a:r>
                <a:r>
                  <a:rPr lang="en-US" altLang="ja-JP"/>
                  <a:t>)</a:t>
                </a:r>
                <a:endParaRPr lang="ja-JP" altLang="en-US"/>
              </a:p>
            </c:rich>
          </c:tx>
          <c:layout>
            <c:manualLayout>
              <c:xMode val="edge"/>
              <c:yMode val="edge"/>
              <c:x val="0.45303125"/>
              <c:y val="0.934724183006536"/>
            </c:manualLayout>
          </c:layout>
          <c:overlay val="0"/>
        </c:title>
        <c:numFmt formatCode="General" sourceLinked="1"/>
        <c:majorTickMark val="out"/>
        <c:minorTickMark val="none"/>
        <c:tickLblPos val="nextTo"/>
        <c:crossAx val="-932384960"/>
        <c:crosses val="autoZero"/>
        <c:crossBetween val="midCat"/>
        <c:majorUnit val="1.0"/>
      </c:valAx>
      <c:valAx>
        <c:axId val="-932384960"/>
        <c:scaling>
          <c:orientation val="minMax"/>
          <c:max val="50.0"/>
          <c:min val="25.0"/>
        </c:scaling>
        <c:delete val="0"/>
        <c:axPos val="l"/>
        <c:majorGridlines/>
        <c:minorGridlines/>
        <c:title>
          <c:tx>
            <c:rich>
              <a:bodyPr rot="0" vert="wordArtVertRtl"/>
              <a:lstStyle/>
              <a:p>
                <a:pPr>
                  <a:defRPr/>
                </a:pPr>
                <a:r>
                  <a:rPr lang="ja-JP" altLang="en-US"/>
                  <a:t>頭囲</a:t>
                </a:r>
                <a:r>
                  <a:rPr lang="en-US" altLang="ja-JP"/>
                  <a:t>(cm)</a:t>
                </a:r>
                <a:endParaRPr lang="ja-JP" altLang="en-US"/>
              </a:p>
            </c:rich>
          </c:tx>
          <c:overlay val="0"/>
        </c:title>
        <c:numFmt formatCode="General" sourceLinked="1"/>
        <c:majorTickMark val="out"/>
        <c:minorTickMark val="none"/>
        <c:tickLblPos val="nextTo"/>
        <c:spPr>
          <a:ln/>
        </c:spPr>
        <c:crossAx val="-932399632"/>
        <c:crosses val="autoZero"/>
        <c:crossBetween val="midCat"/>
        <c:majorUnit val="5.0"/>
        <c:minorUnit val="1.0"/>
      </c:valAx>
    </c:plotArea>
    <c:plotVisOnly val="1"/>
    <c:dispBlanksAs val="gap"/>
    <c:showDLblsOverMax val="0"/>
  </c:chart>
  <c:printSettings>
    <c:headerFooter/>
    <c:pageMargins b="0.750000000000001" l="0.700000000000001" r="0.700000000000001"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 Id="rId2"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18</xdr:col>
      <xdr:colOff>106425</xdr:colOff>
      <xdr:row>0</xdr:row>
      <xdr:rowOff>36286</xdr:rowOff>
    </xdr:from>
    <xdr:to>
      <xdr:col>26</xdr:col>
      <xdr:colOff>544285</xdr:colOff>
      <xdr:row>42</xdr:row>
      <xdr:rowOff>72571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8</xdr:col>
      <xdr:colOff>580571</xdr:colOff>
      <xdr:row>42</xdr:row>
      <xdr:rowOff>145143</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221672</xdr:colOff>
      <xdr:row>0</xdr:row>
      <xdr:rowOff>1</xdr:rowOff>
    </xdr:from>
    <xdr:to>
      <xdr:col>17</xdr:col>
      <xdr:colOff>526144</xdr:colOff>
      <xdr:row>42</xdr:row>
      <xdr:rowOff>90715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120650</xdr:colOff>
      <xdr:row>0</xdr:row>
      <xdr:rowOff>180068</xdr:rowOff>
    </xdr:from>
    <xdr:to>
      <xdr:col>17</xdr:col>
      <xdr:colOff>526143</xdr:colOff>
      <xdr:row>42</xdr:row>
      <xdr:rowOff>181429</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1</xdr:row>
      <xdr:rowOff>1</xdr:rowOff>
    </xdr:from>
    <xdr:to>
      <xdr:col>8</xdr:col>
      <xdr:colOff>562428</xdr:colOff>
      <xdr:row>42</xdr:row>
      <xdr:rowOff>181429</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34925</xdr:rowOff>
    </xdr:from>
    <xdr:to>
      <xdr:col>8</xdr:col>
      <xdr:colOff>630425</xdr:colOff>
      <xdr:row>25</xdr:row>
      <xdr:rowOff>68675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653143</xdr:colOff>
      <xdr:row>42</xdr:row>
      <xdr:rowOff>181429</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45357</xdr:colOff>
      <xdr:row>0</xdr:row>
      <xdr:rowOff>0</xdr:rowOff>
    </xdr:from>
    <xdr:to>
      <xdr:col>17</xdr:col>
      <xdr:colOff>635000</xdr:colOff>
      <xdr:row>42</xdr:row>
      <xdr:rowOff>199571</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0.32502</cdr:x>
      <cdr:y>0.13433</cdr:y>
    </cdr:from>
    <cdr:to>
      <cdr:x>0.72141</cdr:x>
      <cdr:y>0.18069</cdr:y>
    </cdr:to>
    <cdr:sp macro="" textlink="">
      <cdr:nvSpPr>
        <cdr:cNvPr id="2" name="テキスト ボックス 1"/>
        <cdr:cNvSpPr txBox="1"/>
      </cdr:nvSpPr>
      <cdr:spPr>
        <a:xfrm xmlns:a="http://schemas.openxmlformats.org/drawingml/2006/main">
          <a:off x="2223105" y="1208994"/>
          <a:ext cx="2711351" cy="417219"/>
        </a:xfrm>
        <a:prstGeom xmlns:a="http://schemas.openxmlformats.org/drawingml/2006/main" prst="rect">
          <a:avLst/>
        </a:prstGeom>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pPr algn="ctr"/>
          <a:r>
            <a:rPr lang="en-US" altLang="ja-JP" sz="1800"/>
            <a:t>Obesity index chart</a:t>
          </a:r>
          <a:endParaRPr lang="ja-JP" altLang="en-US" sz="1800"/>
        </a:p>
      </cdr:txBody>
    </cdr:sp>
  </cdr:relSizeAnchor>
  <cdr:relSizeAnchor xmlns:cdr="http://schemas.openxmlformats.org/drawingml/2006/chartDrawing">
    <cdr:from>
      <cdr:x>0.80985</cdr:x>
      <cdr:y>0.15214</cdr:y>
    </cdr:from>
    <cdr:to>
      <cdr:x>0.92626</cdr:x>
      <cdr:y>0.18153</cdr:y>
    </cdr:to>
    <cdr:sp macro="" textlink="">
      <cdr:nvSpPr>
        <cdr:cNvPr id="3" name="テキスト ボックス 2"/>
        <cdr:cNvSpPr txBox="1"/>
      </cdr:nvSpPr>
      <cdr:spPr>
        <a:xfrm xmlns:a="http://schemas.openxmlformats.org/drawingml/2006/main">
          <a:off x="5220105" y="1478238"/>
          <a:ext cx="750356" cy="2855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400"/>
            <a:t>肥満度</a:t>
          </a:r>
        </a:p>
      </cdr:txBody>
    </cdr:sp>
  </cdr:relSizeAnchor>
</c:userShapes>
</file>

<file path=xl/drawings/drawing6.xml><?xml version="1.0" encoding="utf-8"?>
<c:userShapes xmlns:c="http://schemas.openxmlformats.org/drawingml/2006/chart">
  <cdr:relSizeAnchor xmlns:cdr="http://schemas.openxmlformats.org/drawingml/2006/chartDrawing">
    <cdr:from>
      <cdr:x>0.32502</cdr:x>
      <cdr:y>0.13433</cdr:y>
    </cdr:from>
    <cdr:to>
      <cdr:x>0.72141</cdr:x>
      <cdr:y>0.18069</cdr:y>
    </cdr:to>
    <cdr:sp macro="" textlink="">
      <cdr:nvSpPr>
        <cdr:cNvPr id="2" name="テキスト ボックス 1"/>
        <cdr:cNvSpPr txBox="1"/>
      </cdr:nvSpPr>
      <cdr:spPr>
        <a:xfrm xmlns:a="http://schemas.openxmlformats.org/drawingml/2006/main">
          <a:off x="2223105" y="1208994"/>
          <a:ext cx="2711351" cy="417219"/>
        </a:xfrm>
        <a:prstGeom xmlns:a="http://schemas.openxmlformats.org/drawingml/2006/main" prst="rect">
          <a:avLst/>
        </a:prstGeom>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pPr algn="ctr"/>
          <a:r>
            <a:rPr lang="en-US" altLang="ja-JP" sz="1800"/>
            <a:t>Obesity index chart</a:t>
          </a:r>
          <a:endParaRPr lang="ja-JP" altLang="en-US" sz="1800"/>
        </a:p>
      </cdr:txBody>
    </cdr:sp>
  </cdr:relSizeAnchor>
  <cdr:relSizeAnchor xmlns:cdr="http://schemas.openxmlformats.org/drawingml/2006/chartDrawing">
    <cdr:from>
      <cdr:x>0.71519</cdr:x>
      <cdr:y>0.15322</cdr:y>
    </cdr:from>
    <cdr:to>
      <cdr:x>0.8316</cdr:x>
      <cdr:y>0.18261</cdr:y>
    </cdr:to>
    <cdr:sp macro="" textlink="">
      <cdr:nvSpPr>
        <cdr:cNvPr id="3" name="テキスト ボックス 2"/>
        <cdr:cNvSpPr txBox="1"/>
      </cdr:nvSpPr>
      <cdr:spPr>
        <a:xfrm xmlns:a="http://schemas.openxmlformats.org/drawingml/2006/main">
          <a:off x="4389777" y="1350099"/>
          <a:ext cx="714516" cy="2589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400"/>
            <a:t>肥満度</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45718</xdr:colOff>
      <xdr:row>0</xdr:row>
      <xdr:rowOff>50800</xdr:rowOff>
    </xdr:from>
    <xdr:to>
      <xdr:col>8</xdr:col>
      <xdr:colOff>609599</xdr:colOff>
      <xdr:row>42</xdr:row>
      <xdr:rowOff>139700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78104</xdr:colOff>
      <xdr:row>0</xdr:row>
      <xdr:rowOff>38100</xdr:rowOff>
    </xdr:from>
    <xdr:to>
      <xdr:col>17</xdr:col>
      <xdr:colOff>622299</xdr:colOff>
      <xdr:row>42</xdr:row>
      <xdr:rowOff>139700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25398</xdr:colOff>
      <xdr:row>0</xdr:row>
      <xdr:rowOff>22222</xdr:rowOff>
    </xdr:from>
    <xdr:to>
      <xdr:col>8</xdr:col>
      <xdr:colOff>609599</xdr:colOff>
      <xdr:row>42</xdr:row>
      <xdr:rowOff>152399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73024</xdr:colOff>
      <xdr:row>0</xdr:row>
      <xdr:rowOff>82550</xdr:rowOff>
    </xdr:from>
    <xdr:to>
      <xdr:col>17</xdr:col>
      <xdr:colOff>609599</xdr:colOff>
      <xdr:row>42</xdr:row>
      <xdr:rowOff>152400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57"/>
  <sheetViews>
    <sheetView tabSelected="1" workbookViewId="0">
      <pane ySplit="6" topLeftCell="A7" activePane="bottomLeft" state="frozen"/>
      <selection pane="bottomLeft"/>
    </sheetView>
  </sheetViews>
  <sheetFormatPr baseColWidth="12" defaultColWidth="9" defaultRowHeight="14" x14ac:dyDescent="0.15"/>
  <cols>
    <col min="1" max="1" width="11.33203125" style="22" customWidth="1"/>
    <col min="2" max="5" width="5.6640625" style="22" customWidth="1"/>
    <col min="6" max="7" width="3.33203125" style="22" customWidth="1"/>
    <col min="8" max="17" width="5.6640625" style="21" customWidth="1"/>
    <col min="18" max="18" width="6.6640625" style="21" customWidth="1"/>
    <col min="19" max="19" width="5.6640625" style="21" customWidth="1"/>
    <col min="20" max="20" width="6.6640625" style="21" customWidth="1"/>
    <col min="21" max="21" width="2.5" style="92" customWidth="1"/>
    <col min="22" max="22" width="5.5" style="78" customWidth="1"/>
    <col min="23" max="24" width="5.5" style="79" customWidth="1"/>
    <col min="25" max="27" width="5.5" style="80" customWidth="1"/>
    <col min="28" max="28" width="5.5" style="81" customWidth="1"/>
    <col min="29" max="29" width="5.5" style="82" customWidth="1"/>
    <col min="30" max="39" width="5.5" style="81" customWidth="1"/>
    <col min="40" max="41" width="5.5" style="80" customWidth="1"/>
    <col min="42" max="57" width="5.5" style="81" customWidth="1"/>
    <col min="58" max="59" width="9" style="24" customWidth="1"/>
    <col min="60" max="62" width="9" style="24"/>
    <col min="63" max="16384" width="9" style="22"/>
  </cols>
  <sheetData>
    <row r="1" spans="1:62" ht="15" thickTop="1" x14ac:dyDescent="0.15">
      <c r="A1" s="53" t="s">
        <v>49</v>
      </c>
      <c r="B1" s="102"/>
      <c r="C1" s="103"/>
      <c r="F1" s="108" t="s">
        <v>50</v>
      </c>
      <c r="G1" s="109"/>
      <c r="H1" s="109"/>
      <c r="I1" s="56"/>
      <c r="J1" s="57" t="s">
        <v>118</v>
      </c>
      <c r="L1" s="96" t="s">
        <v>6</v>
      </c>
      <c r="M1" s="97"/>
      <c r="N1" s="60" t="str">
        <f>IF(OR(I1="",I2=""),"",IF(B2="男",(I1+I2+13)/2,(I1+I2-13)/2))</f>
        <v/>
      </c>
      <c r="O1" s="57" t="s">
        <v>118</v>
      </c>
    </row>
    <row r="2" spans="1:62" ht="15" thickBot="1" x14ac:dyDescent="0.2">
      <c r="A2" s="54" t="s">
        <v>5</v>
      </c>
      <c r="B2" s="104"/>
      <c r="C2" s="105"/>
      <c r="F2" s="110" t="s">
        <v>51</v>
      </c>
      <c r="G2" s="111"/>
      <c r="H2" s="111"/>
      <c r="I2" s="58"/>
      <c r="J2" s="59" t="s">
        <v>119</v>
      </c>
      <c r="L2" s="98" t="s">
        <v>52</v>
      </c>
      <c r="M2" s="99"/>
      <c r="N2" s="61" t="str">
        <f>IF(N1="","",N1+IF(B2="男",9,8))</f>
        <v/>
      </c>
      <c r="O2" s="62" t="s">
        <v>119</v>
      </c>
    </row>
    <row r="3" spans="1:62" ht="16" thickTop="1" thickBot="1" x14ac:dyDescent="0.2">
      <c r="A3" s="55" t="s">
        <v>69</v>
      </c>
      <c r="B3" s="106"/>
      <c r="C3" s="107"/>
      <c r="H3" s="22"/>
      <c r="L3" s="100" t="s">
        <v>53</v>
      </c>
      <c r="M3" s="101"/>
      <c r="N3" s="63" t="str">
        <f>IF(N1="","",N1-IF(B2="男",9,8))</f>
        <v/>
      </c>
      <c r="O3" s="59" t="s">
        <v>119</v>
      </c>
    </row>
    <row r="4" spans="1:62" ht="16" thickTop="1" thickBot="1" x14ac:dyDescent="0.2">
      <c r="V4" s="83" t="str">
        <f>"横断的標準身長・体重曲線 "&amp;入力!$B$2&amp;"児(0-12カ月)"</f>
        <v>横断的標準身長・体重曲線 児(0-12カ月)</v>
      </c>
    </row>
    <row r="5" spans="1:62" s="19" customFormat="1" ht="18" customHeight="1" thickTop="1" x14ac:dyDescent="0.15">
      <c r="A5" s="114" t="s">
        <v>68</v>
      </c>
      <c r="B5" s="28" t="s">
        <v>54</v>
      </c>
      <c r="C5" s="28" t="s">
        <v>55</v>
      </c>
      <c r="D5" s="25" t="s">
        <v>113</v>
      </c>
      <c r="E5" s="73" t="s">
        <v>149</v>
      </c>
      <c r="F5" s="116" t="s">
        <v>56</v>
      </c>
      <c r="G5" s="118" t="s">
        <v>57</v>
      </c>
      <c r="H5" s="16" t="s">
        <v>58</v>
      </c>
      <c r="I5" s="29" t="s">
        <v>54</v>
      </c>
      <c r="J5" s="31" t="s">
        <v>59</v>
      </c>
      <c r="K5" s="31" t="s">
        <v>59</v>
      </c>
      <c r="L5" s="29" t="s">
        <v>46</v>
      </c>
      <c r="M5" s="29" t="s">
        <v>113</v>
      </c>
      <c r="N5" s="91" t="s">
        <v>155</v>
      </c>
      <c r="O5" s="120" t="s">
        <v>60</v>
      </c>
      <c r="P5" s="29" t="s">
        <v>60</v>
      </c>
      <c r="Q5" s="112" t="s">
        <v>61</v>
      </c>
      <c r="R5" s="121"/>
      <c r="S5" s="112" t="s">
        <v>62</v>
      </c>
      <c r="T5" s="113"/>
      <c r="U5" s="93"/>
      <c r="V5" s="83" t="str">
        <f>"横断的標準身長・体重曲線 "&amp;入力!$B$2&amp;"児(0-6歳)"</f>
        <v>横断的標準身長・体重曲線 児(0-6歳)</v>
      </c>
      <c r="W5" s="84" t="s">
        <v>165</v>
      </c>
      <c r="X5" s="84" t="s">
        <v>48</v>
      </c>
      <c r="Y5" s="85" t="s">
        <v>44</v>
      </c>
      <c r="Z5" s="85" t="s">
        <v>47</v>
      </c>
      <c r="AA5" s="86" t="s">
        <v>141</v>
      </c>
      <c r="AB5" s="86" t="s">
        <v>144</v>
      </c>
      <c r="AC5" s="87" t="s">
        <v>145</v>
      </c>
      <c r="AD5" s="86" t="s">
        <v>142</v>
      </c>
      <c r="AE5" s="86" t="s">
        <v>116</v>
      </c>
      <c r="AF5" s="86" t="s">
        <v>117</v>
      </c>
      <c r="AG5" s="86" t="s">
        <v>127</v>
      </c>
      <c r="AH5" s="88" t="s">
        <v>134</v>
      </c>
      <c r="AI5" s="86"/>
      <c r="AJ5" s="88" t="s">
        <v>135</v>
      </c>
      <c r="AK5" s="86"/>
      <c r="AL5" s="86" t="s">
        <v>82</v>
      </c>
      <c r="AM5" s="86"/>
      <c r="AN5" s="80" t="s">
        <v>33</v>
      </c>
      <c r="AO5" s="81" t="s">
        <v>36</v>
      </c>
      <c r="AP5" s="86" t="s">
        <v>35</v>
      </c>
      <c r="AQ5" s="86" t="s">
        <v>156</v>
      </c>
      <c r="AR5" s="86" t="s">
        <v>45</v>
      </c>
      <c r="AS5" s="86" t="s">
        <v>146</v>
      </c>
      <c r="AT5" s="86" t="s">
        <v>147</v>
      </c>
      <c r="AU5" s="86" t="s">
        <v>39</v>
      </c>
      <c r="AV5" s="86" t="s">
        <v>143</v>
      </c>
      <c r="AW5" s="86" t="s">
        <v>111</v>
      </c>
      <c r="AX5" s="86" t="s">
        <v>157</v>
      </c>
      <c r="AY5" s="86" t="s">
        <v>38</v>
      </c>
      <c r="AZ5" s="86" t="s">
        <v>39</v>
      </c>
      <c r="BA5" s="86" t="s">
        <v>40</v>
      </c>
      <c r="BB5" s="86" t="s">
        <v>158</v>
      </c>
      <c r="BC5" s="86" t="s">
        <v>152</v>
      </c>
      <c r="BD5" s="86" t="s">
        <v>153</v>
      </c>
      <c r="BE5" s="86" t="s">
        <v>154</v>
      </c>
      <c r="BF5" s="20"/>
      <c r="BG5" s="20"/>
      <c r="BH5" s="20"/>
      <c r="BI5" s="20"/>
      <c r="BJ5" s="20"/>
    </row>
    <row r="6" spans="1:62" s="19" customFormat="1" ht="18" customHeight="1" thickBot="1" x14ac:dyDescent="0.2">
      <c r="A6" s="115"/>
      <c r="B6" s="17" t="s">
        <v>63</v>
      </c>
      <c r="C6" s="17"/>
      <c r="D6" s="26" t="s">
        <v>114</v>
      </c>
      <c r="E6" s="74" t="s">
        <v>150</v>
      </c>
      <c r="F6" s="117"/>
      <c r="G6" s="119"/>
      <c r="H6" s="18" t="s">
        <v>37</v>
      </c>
      <c r="I6" s="30" t="s">
        <v>64</v>
      </c>
      <c r="J6" s="32" t="s">
        <v>65</v>
      </c>
      <c r="K6" s="32" t="s">
        <v>64</v>
      </c>
      <c r="L6" s="30" t="s">
        <v>64</v>
      </c>
      <c r="M6" s="30" t="s">
        <v>115</v>
      </c>
      <c r="N6" s="30" t="s">
        <v>64</v>
      </c>
      <c r="O6" s="119"/>
      <c r="P6" s="32" t="s">
        <v>64</v>
      </c>
      <c r="Q6" s="33" t="s">
        <v>66</v>
      </c>
      <c r="R6" s="33" t="s">
        <v>67</v>
      </c>
      <c r="S6" s="33" t="s">
        <v>66</v>
      </c>
      <c r="T6" s="34" t="s">
        <v>67</v>
      </c>
      <c r="U6" s="93"/>
      <c r="V6" s="83" t="str">
        <f>"横断的標準身長・体重曲線 "&amp;入力!$B$2&amp;"子(0-18歳)"</f>
        <v>横断的標準身長・体重曲線 子(0-18歳)</v>
      </c>
      <c r="W6" s="84"/>
      <c r="X6" s="84"/>
      <c r="Y6" s="85"/>
      <c r="Z6" s="85"/>
      <c r="AA6" s="86"/>
      <c r="AB6" s="86"/>
      <c r="AC6" s="87"/>
      <c r="AD6" s="86"/>
      <c r="AE6" s="86"/>
      <c r="AF6" s="86"/>
      <c r="AG6" s="86"/>
      <c r="AH6" s="86" t="s">
        <v>37</v>
      </c>
      <c r="AI6" s="86" t="s">
        <v>46</v>
      </c>
      <c r="AJ6" s="86" t="s">
        <v>37</v>
      </c>
      <c r="AK6" s="86" t="s">
        <v>46</v>
      </c>
      <c r="AL6" s="86"/>
      <c r="AM6" s="86"/>
      <c r="AN6" s="80"/>
      <c r="AO6" s="80"/>
      <c r="AP6" s="81"/>
      <c r="AQ6" s="81"/>
      <c r="AR6" s="81"/>
      <c r="AS6" s="81"/>
      <c r="AT6" s="81"/>
      <c r="AU6" s="81"/>
      <c r="AV6" s="81"/>
      <c r="AW6" s="81"/>
      <c r="AX6" s="81"/>
      <c r="AY6" s="81"/>
      <c r="AZ6" s="81"/>
      <c r="BA6" s="81"/>
      <c r="BB6" s="86"/>
      <c r="BC6" s="86"/>
      <c r="BD6" s="86"/>
      <c r="BE6" s="86"/>
      <c r="BF6" s="20"/>
      <c r="BG6" s="20"/>
      <c r="BH6" s="20"/>
      <c r="BI6" s="20"/>
      <c r="BJ6" s="20"/>
    </row>
    <row r="7" spans="1:62" ht="17" customHeight="1" thickTop="1" x14ac:dyDescent="0.15">
      <c r="A7" s="64"/>
      <c r="B7" s="65"/>
      <c r="C7" s="65"/>
      <c r="D7" s="66"/>
      <c r="E7" s="75"/>
      <c r="F7" s="67" t="str">
        <f>IF(ISNA(W7),"",INT(W7))</f>
        <v/>
      </c>
      <c r="G7" s="68" t="str">
        <f t="shared" ref="G7:G38" si="0">IF(ISNA($W7),"",INT(($W7-INT($W7))*12))</f>
        <v/>
      </c>
      <c r="H7" s="69" t="str">
        <f>IF(ISERROR(W7),"",VLOOKUP(W7,成長曲線_データ!$D$4:$AC$214,3,TRUE))</f>
        <v/>
      </c>
      <c r="I7" s="70" t="str">
        <f t="shared" ref="I7:I38" si="1">IF(OR(ISERROR(Y7),B7=""),"",(B7-H7)/Y7)</f>
        <v/>
      </c>
      <c r="J7" s="70" t="str">
        <f t="shared" ref="J7:J38" si="2">IF(ISNA(AB7),"",(B7-B6)/(A7-A6)*365.25)</f>
        <v/>
      </c>
      <c r="K7" s="70" t="str">
        <f t="shared" ref="K7:K38" si="3">IF(OR(ISERROR(AD7),J7=""),"",(J7-AC7)/AD7)</f>
        <v/>
      </c>
      <c r="L7" s="70" t="str">
        <f t="shared" ref="L7:L28" si="4">IF(OR(ISERROR(AA7),ISNA(X7)),"",(X7-Z7)/AA7)</f>
        <v/>
      </c>
      <c r="M7" s="70" t="str">
        <f>IF(OR(D7="",ISNA(AE7)),"",(D7-AE7)/AF7)</f>
        <v/>
      </c>
      <c r="N7" s="40" t="str">
        <f t="shared" ref="N7:N38" si="5">IF(ISERROR($BB7),"",$BB7)</f>
        <v/>
      </c>
      <c r="O7" s="71" t="str">
        <f t="shared" ref="O7:O38" si="6">IF(AND(B7&gt;0,ISNUMBER(X7)),10000*X7/B7^2,"")</f>
        <v/>
      </c>
      <c r="P7" s="71" t="str">
        <f t="shared" ref="P7:P38" si="7">IF(OR(ISNA(W7),ISERROR($AQ7)),"",$AQ7)</f>
        <v/>
      </c>
      <c r="Q7" s="70" t="str">
        <f t="shared" ref="Q7:Q70" si="8">IF(ISNA($AN7),"",$AN7)</f>
        <v/>
      </c>
      <c r="R7" s="70" t="str">
        <f t="shared" ref="R7:R38" si="9">IF(OR(ISNA($X7),ISNA($AN7)),"",($X7-$Q7)/$Q7*100)</f>
        <v/>
      </c>
      <c r="S7" s="70" t="str">
        <f t="shared" ref="S7:S71" si="10">IF(ISNA($AP7),"",$AP7)</f>
        <v/>
      </c>
      <c r="T7" s="72" t="str">
        <f t="shared" ref="T7:T38" si="11">IF(OR(ISNA($X7),ISNA($AO7)),"",($X7-$S7)/$S7*100)</f>
        <v/>
      </c>
      <c r="V7" s="83" t="str">
        <f>"BMI推移("&amp;B2&amp;"子)"</f>
        <v>BMI推移(子)</v>
      </c>
      <c r="W7" s="79" t="e">
        <f>IF(AND($B$3&gt;0,$A7&gt;0,$A7-$B$3&gt;=0),($A7-$B$3)/365.25,NA())</f>
        <v>#N/A</v>
      </c>
      <c r="X7" s="79" t="e">
        <f t="shared" ref="X7:X38" si="12">IF(C7="",NA(),IF(C7&lt;300,C7,C7/1000))</f>
        <v>#N/A</v>
      </c>
      <c r="Y7" s="80" t="e">
        <f>IF(W7="","",VLOOKUP(W7,成長曲線_データ!$D$4:$AC$214,4,TRUE))</f>
        <v>#N/A</v>
      </c>
      <c r="Z7" s="80" t="e">
        <f>IF(W7="","",VLOOKUP(W7,成長曲線_データ!$D$4:$AC$214,12,TRUE))</f>
        <v>#N/A</v>
      </c>
      <c r="AA7" s="81" t="e">
        <f>IF(W7="","",VLOOKUP(W7,成長曲線_データ!$D$4:$AC$214,13,TRUE))</f>
        <v>#N/A</v>
      </c>
      <c r="AB7" s="94" t="e">
        <f t="shared" ref="AB7:AB38" si="13">IF(AND(A6&gt;0,A7&gt;0,B6&gt;0,B7&gt;0),AVERAGE($W7,$W6),NA())</f>
        <v>#N/A</v>
      </c>
      <c r="AC7" s="82" t="e">
        <f>IF(W7&lt;0.5,NA(),VLOOKUP((W7+1/8),成長曲線_データ!$V$4:$AA$73,2,TRUE))</f>
        <v>#N/A</v>
      </c>
      <c r="AD7" s="82" t="e">
        <f>IF(W7&lt;1,NA(),VLOOKUP(W7,成長曲線_データ!$V$4:$AA$73,3,TRUE))</f>
        <v>#N/A</v>
      </c>
      <c r="AE7" s="82" t="e">
        <f>IF(W7&lt;=6.5,VLOOKUP(W7,頭囲データ!$C$10:$E$85,2,TRUE),NA())</f>
        <v>#N/A</v>
      </c>
      <c r="AF7" s="82" t="e">
        <f>IF(W7&lt;=6.5,VLOOKUP(W7,頭囲データ!$C$10:$E$85,3,TRUE),NA())</f>
        <v>#N/A</v>
      </c>
      <c r="AG7" s="89" t="str">
        <f>入力!F7&amp;"y"&amp;入力!G7&amp;"m"</f>
        <v>ym</v>
      </c>
      <c r="AH7" s="89" t="e">
        <f>IF(AND(入力!W7&gt;=1,入力!W7&lt;6,入力!B7&gt;=70,入力!B7&lt;=120),入力!B7,NA())</f>
        <v>#N/A</v>
      </c>
      <c r="AI7" s="89" t="e">
        <f>IF(AND(入力!W7&gt;=1,入力!W7&lt;6,入力!B7&gt;=70,入力!B7&lt;=120),入力!X7,NA())</f>
        <v>#N/A</v>
      </c>
      <c r="AJ7" s="89" t="e">
        <f>IF(AND(入力!W7&gt;=6,入力!B7&gt;=100,入力!B7&lt;=184),入力!B7,NA())</f>
        <v>#N/A</v>
      </c>
      <c r="AK7" s="89" t="e">
        <f>IF(AND(入力!W7&gt;=6,入力!B7&gt;=100,入力!B7&lt;=184),入力!X7,NA())</f>
        <v>#N/A</v>
      </c>
      <c r="AL7" s="82" t="e">
        <f t="shared" ref="AL7:AL38" si="14">IF(W7&lt;=1,W7*12,NA())</f>
        <v>#N/A</v>
      </c>
      <c r="AM7" s="82"/>
      <c r="AN7" s="80" t="e">
        <f t="shared" ref="AN7:AN38" si="15">IF(OR($B7="",ISNA($W7)),NA(),IF(AND($W7&gt;=5,$W7&lt;18),INDEX(IF($B$2="男",muratamale,muratafemale),$F7-4,2)*$B7+INDEX(IF($B$2="男",muratamale,muratafemale),$F7-4,3),NA()))</f>
        <v>#N/A</v>
      </c>
      <c r="AO7" s="80" t="e">
        <f t="shared" ref="AO7:AO38" si="16">IF($W7&lt;6,IF(AND($B7&gt;=70,$B7&lt;120),2,NA()),IF($W7&lt;18,IF($B7&gt;=101,IF($B7&gt;=140,IF($B7&gt;=149,IF($B7&gt;171+IF($B$2="男",1,0)*13,NA(),5),4),3),NA()),NA()))+IF($B$2="男",0,1)*6</f>
        <v>#N/A</v>
      </c>
      <c r="AP7" s="81" t="e">
        <f t="shared" ref="AP7:AP38" si="17">INDEX(ito,$AO7,6)*$B7^3+INDEX(ito,$AO7,7)*$B7^2+INDEX(ito,$AO7,8)*$B7+INDEX(ito,$AO7,9)</f>
        <v>#N/A</v>
      </c>
      <c r="AQ7" s="81" t="e">
        <f t="shared" ref="AQ7:AQ38" si="18">(($O7/$AU7)^$AS7-1)/($AS7*$AW7)</f>
        <v>#VALUE!</v>
      </c>
      <c r="AR7" s="81" t="e">
        <f t="shared" ref="AR7:AR38" si="19">IF($W7*12&lt;150,IF($W7*12&lt;IF($B$2="男",78,69),2,3),4)+IF($B$2="男",0,4)</f>
        <v>#N/A</v>
      </c>
      <c r="AS7" s="81" t="e">
        <f t="shared" ref="AS7:AS38" si="20">INDEX(BMI_L,$AR7,3)*($W7*12)^3+INDEX(BMI_L,$AR7,4)*($W7*12)^2+INDEX(BMI_L,$AR7,5)*($W7*12)+INDEX(BMI_L,$AR7,6)</f>
        <v>#N/A</v>
      </c>
      <c r="AT7" s="81" t="e">
        <f t="shared" ref="AT7:AT38" si="21">IF($W7*12&lt;90,IF($W7*12&lt;26.75,IF($W7*12&lt;9.5,IF($W7*12&lt;2.5,2,3),4),5),6)+IF($B$2="男",0,6)+IF(AND($B$2&lt;&gt;"男",$W7*12&gt;=150),1,0)</f>
        <v>#N/A</v>
      </c>
      <c r="AU7" s="81" t="e">
        <f t="shared" ref="AU7:AU38" si="22">INDEX(BMI_M,$AT7,3)*($W7*12)^3+INDEX(BMI_M,$AT7,4)*($W7*12)^2+INDEX(BMI_M,$AT7,5)*($W7*12)+INDEX(BMI_M,$AT7,6)</f>
        <v>#N/A</v>
      </c>
      <c r="AV7" s="81" t="e">
        <f t="shared" ref="AV7:AV38" si="23">IF($W7*12&lt;90,2,3)+IF($B$2="男",0,3)</f>
        <v>#N/A</v>
      </c>
      <c r="AW7" s="81" t="e">
        <f t="shared" ref="AW7:AW38" si="24">INDEX(BMI_S,$AV7,3)*($W7*12)^3+INDEX(BMI_S,$AV7,4)*($W7*12)^2+INDEX(BMI_S,$AV7,5)*($W7*12)+INDEX(BMI_S,$AV7,6)</f>
        <v>#N/A</v>
      </c>
      <c r="AX7" s="81" t="e">
        <f t="shared" ref="AX7:AX38" si="25">IF(AND(W7&lt;6.5,D7&gt;0),(($D7/$AZ7)^$AY7-1)/($AY7*$BA7),NA())</f>
        <v>#N/A</v>
      </c>
      <c r="AY7" s="81" t="e">
        <f>VLOOKUP($W7,頭囲データ!$R$10:$W$11,3,TRUE)*$W7^3+VLOOKUP($W7,頭囲データ!$R$10:$W$11,4,TRUE)*$W7^2+VLOOKUP($W7,頭囲データ!$R$10:$W$11,5,TRUE)*$W7+VLOOKUP($W7,頭囲データ!$R$10:$W$11,6,TRUE)</f>
        <v>#N/A</v>
      </c>
      <c r="AZ7" s="81" t="e">
        <f>VLOOKUP($W7,頭囲データ!$R$12:$W$16,3,TRUE)*$W7^3+VLOOKUP($W7,頭囲データ!$R$12:$W$16,4,TRUE)*$W7^2+VLOOKUP($W7,頭囲データ!$R$12:$W$16,5,TRUE)*$W7+VLOOKUP($W7,頭囲データ!$R$12:$W$16,6,TRUE)</f>
        <v>#N/A</v>
      </c>
      <c r="BA7" s="81" t="e">
        <f>VLOOKUP($W7,頭囲データ!$R$17:$W$18,3,TRUE)*$W7^3+VLOOKUP($W7,頭囲データ!$R$17:$W$18,4,TRUE)*$W7^2+VLOOKUP($W7,頭囲データ!$R$17:$W$18,5,TRUE)*$W7+VLOOKUP($W7,頭囲データ!$R$17:$W$18,6,TRUE)</f>
        <v>#N/A</v>
      </c>
      <c r="BB7" s="81" t="e">
        <f t="shared" ref="BB7:BB38" si="26">IF(AND(W7&lt;6.5,E7&gt;0),(($E7/$BD7)^$BC7-1)/($BC7*$BE7),NA())</f>
        <v>#N/A</v>
      </c>
      <c r="BC7" s="81" t="e">
        <f>VLOOKUP($W7,胸囲データ!$R$10:$W$11,3,TRUE)*$W7^3+VLOOKUP($W7,胸囲データ!$R$10:$W$11,4,TRUE)*$W7^2+VLOOKUP($W7,胸囲データ!$R$10:$W$11,5,TRUE)*$W7+VLOOKUP($W7,胸囲データ!$R$10:$W$11,6,TRUE)</f>
        <v>#N/A</v>
      </c>
      <c r="BD7" s="81" t="e">
        <f>VLOOKUP($W7,胸囲データ!$R$12:$W$16,3,TRUE)*$W7^3+VLOOKUP($W7,胸囲データ!$R$12:$W$16,4,TRUE)*$W7^2+VLOOKUP($W7,胸囲データ!$R$12:$W$16,5,TRUE)*$W7+VLOOKUP($W7,胸囲データ!$R$12:$W$16,6,TRUE)</f>
        <v>#N/A</v>
      </c>
      <c r="BE7" s="81" t="e">
        <f>VLOOKUP($W7,胸囲データ!$R$17:$W$18,3,TRUE)*$W7^3+VLOOKUP($W7,胸囲データ!$R$17:$W$18,4,TRUE)*$W7^2+VLOOKUP($W7,胸囲データ!$R$17:$W$18,5,TRUE)*$W7+VLOOKUP($W7,胸囲データ!$R$17:$W$18,6,TRUE)</f>
        <v>#N/A</v>
      </c>
    </row>
    <row r="8" spans="1:62" x14ac:dyDescent="0.15">
      <c r="A8" s="35"/>
      <c r="B8" s="36"/>
      <c r="C8" s="36"/>
      <c r="D8" s="49"/>
      <c r="E8" s="66"/>
      <c r="F8" s="51" t="str">
        <f>IF(ISNA(W8),"",INT(W8))</f>
        <v/>
      </c>
      <c r="G8" s="37" t="str">
        <f t="shared" si="0"/>
        <v/>
      </c>
      <c r="H8" s="38" t="str">
        <f>IF(ISERROR(W8),"",VLOOKUP(W8,成長曲線_データ!$D$4:$AC$214,3,TRUE))</f>
        <v/>
      </c>
      <c r="I8" s="39" t="str">
        <f t="shared" si="1"/>
        <v/>
      </c>
      <c r="J8" s="39" t="str">
        <f t="shared" si="2"/>
        <v/>
      </c>
      <c r="K8" s="39" t="str">
        <f t="shared" si="3"/>
        <v/>
      </c>
      <c r="L8" s="39" t="str">
        <f t="shared" si="4"/>
        <v/>
      </c>
      <c r="M8" s="39" t="str">
        <f t="shared" ref="M8:M71" si="27">IF(OR(D8="",ISNA(AE8)),"",(D8-AE8)/AF8)</f>
        <v/>
      </c>
      <c r="N8" s="40" t="str">
        <f t="shared" si="5"/>
        <v/>
      </c>
      <c r="O8" s="40" t="str">
        <f t="shared" si="6"/>
        <v/>
      </c>
      <c r="P8" s="40" t="str">
        <f t="shared" si="7"/>
        <v/>
      </c>
      <c r="Q8" s="39" t="str">
        <f t="shared" si="8"/>
        <v/>
      </c>
      <c r="R8" s="39" t="str">
        <f t="shared" si="9"/>
        <v/>
      </c>
      <c r="S8" s="39" t="str">
        <f t="shared" si="10"/>
        <v/>
      </c>
      <c r="T8" s="41" t="str">
        <f t="shared" si="11"/>
        <v/>
      </c>
      <c r="V8" s="83" t="str">
        <f>"縦断的標準身長・成長速度曲線 "&amp;入力!$B$2&amp;"児(0-6歳)"</f>
        <v>縦断的標準身長・成長速度曲線 児(0-6歳)</v>
      </c>
      <c r="W8" s="79" t="e">
        <f>IF(AND($B$3&gt;0,$A8&gt;0,$A8-$B$3&gt;=0),($A8-$B$3)/365.25,NA())</f>
        <v>#N/A</v>
      </c>
      <c r="X8" s="79" t="e">
        <f t="shared" si="12"/>
        <v>#N/A</v>
      </c>
      <c r="Y8" s="80" t="e">
        <f>IF(W8="","",VLOOKUP(W8,成長曲線_データ!$D$4:$AC$214,4,TRUE))</f>
        <v>#N/A</v>
      </c>
      <c r="Z8" s="80" t="e">
        <f>IF(W8="","",VLOOKUP(W8,成長曲線_データ!$D$4:$AC$214,12,TRUE))</f>
        <v>#N/A</v>
      </c>
      <c r="AA8" s="81" t="e">
        <f>IF(W8="","",VLOOKUP(W8,成長曲線_データ!$D$4:$AC$214,13,TRUE))</f>
        <v>#N/A</v>
      </c>
      <c r="AB8" s="94" t="e">
        <f t="shared" si="13"/>
        <v>#N/A</v>
      </c>
      <c r="AC8" s="82" t="e">
        <f>IF(W8&lt;0.5,NA(),VLOOKUP((W8+1/8),成長曲線_データ!$V$4:$AA$73,2,TRUE))</f>
        <v>#N/A</v>
      </c>
      <c r="AD8" s="82" t="e">
        <f>IF(W8&lt;1,NA(),VLOOKUP(W8,成長曲線_データ!$V$4:$AA$73,3,TRUE))</f>
        <v>#N/A</v>
      </c>
      <c r="AE8" s="82" t="e">
        <f>IF(W8&lt;=6.5,VLOOKUP(W8,頭囲データ!$C$10:$E$85,2,TRUE),NA())</f>
        <v>#N/A</v>
      </c>
      <c r="AF8" s="82" t="e">
        <f>IF(W8&lt;=6.5,VLOOKUP(W8,頭囲データ!$C$10:$E$85,3,TRUE),NA())</f>
        <v>#N/A</v>
      </c>
      <c r="AG8" s="89" t="str">
        <f>入力!F8&amp;"y"&amp;入力!G8&amp;"m"</f>
        <v>ym</v>
      </c>
      <c r="AH8" s="89" t="e">
        <f>IF(AND(入力!W8&gt;=1,入力!W8&lt;6,入力!B8&gt;=70,入力!B8&lt;=120),入力!B8,NA())</f>
        <v>#N/A</v>
      </c>
      <c r="AI8" s="89" t="e">
        <f>IF(AND(入力!W8&gt;=1,入力!W8&lt;6,入力!B8&gt;=70,入力!B8&lt;=120),入力!X8,NA())</f>
        <v>#N/A</v>
      </c>
      <c r="AJ8" s="89" t="e">
        <f>IF(AND(入力!W8&gt;=6,入力!B8&gt;=100,入力!B8&lt;=184),入力!B8,NA())</f>
        <v>#N/A</v>
      </c>
      <c r="AK8" s="89" t="e">
        <f>IF(AND(入力!W8&gt;=6,入力!B8&gt;=100,入力!B8&lt;=184),入力!X8,NA())</f>
        <v>#N/A</v>
      </c>
      <c r="AL8" s="82" t="e">
        <f t="shared" si="14"/>
        <v>#N/A</v>
      </c>
      <c r="AM8" s="82"/>
      <c r="AN8" s="80" t="e">
        <f t="shared" si="15"/>
        <v>#N/A</v>
      </c>
      <c r="AO8" s="80" t="e">
        <f t="shared" si="16"/>
        <v>#N/A</v>
      </c>
      <c r="AP8" s="81" t="e">
        <f t="shared" si="17"/>
        <v>#N/A</v>
      </c>
      <c r="AQ8" s="81" t="e">
        <f t="shared" si="18"/>
        <v>#VALUE!</v>
      </c>
      <c r="AR8" s="81" t="e">
        <f t="shared" si="19"/>
        <v>#N/A</v>
      </c>
      <c r="AS8" s="81" t="e">
        <f t="shared" si="20"/>
        <v>#N/A</v>
      </c>
      <c r="AT8" s="81" t="e">
        <f t="shared" si="21"/>
        <v>#N/A</v>
      </c>
      <c r="AU8" s="81" t="e">
        <f t="shared" si="22"/>
        <v>#N/A</v>
      </c>
      <c r="AV8" s="81" t="e">
        <f t="shared" si="23"/>
        <v>#N/A</v>
      </c>
      <c r="AW8" s="81" t="e">
        <f t="shared" si="24"/>
        <v>#N/A</v>
      </c>
      <c r="AX8" s="81" t="e">
        <f t="shared" si="25"/>
        <v>#N/A</v>
      </c>
      <c r="AY8" s="81" t="e">
        <f>VLOOKUP($W8,頭囲データ!$R$10:$W$11,3,TRUE)*$W8^3+VLOOKUP($W8,頭囲データ!$R$10:$W$11,4,TRUE)*$W8^2+VLOOKUP($W8,頭囲データ!$R$10:$W$11,5,TRUE)*$W8+VLOOKUP($W8,頭囲データ!$R$10:$W$11,6,TRUE)</f>
        <v>#N/A</v>
      </c>
      <c r="AZ8" s="81" t="e">
        <f>VLOOKUP($W8,頭囲データ!$R$12:$W$16,3,TRUE)*$W8^3+VLOOKUP($W8,頭囲データ!$R$12:$W$16,4,TRUE)*$W8^2+VLOOKUP($W8,頭囲データ!$R$12:$W$16,5,TRUE)*$W8+VLOOKUP($W8,頭囲データ!$R$12:$W$16,6,TRUE)</f>
        <v>#N/A</v>
      </c>
      <c r="BA8" s="81" t="e">
        <f>VLOOKUP($W8,頭囲データ!$R$17:$W$18,3,TRUE)*$W8^3+VLOOKUP($W8,頭囲データ!$R$17:$W$18,4,TRUE)*$W8^2+VLOOKUP($W8,頭囲データ!$R$17:$W$18,5,TRUE)*$W8+VLOOKUP($W8,頭囲データ!$R$17:$W$18,6,TRUE)</f>
        <v>#N/A</v>
      </c>
      <c r="BB8" s="81" t="e">
        <f t="shared" si="26"/>
        <v>#N/A</v>
      </c>
      <c r="BC8" s="81" t="e">
        <f>VLOOKUP($W8,胸囲データ!$R$10:$W$11,3,TRUE)*$W8^3+VLOOKUP($W8,胸囲データ!$R$10:$W$11,4,TRUE)*$W8^2+VLOOKUP($W8,胸囲データ!$R$10:$W$11,5,TRUE)*$W8+VLOOKUP($W8,胸囲データ!$R$10:$W$11,6,TRUE)</f>
        <v>#N/A</v>
      </c>
      <c r="BD8" s="81" t="e">
        <f>VLOOKUP($W8,胸囲データ!$R$12:$W$16,3,TRUE)*$W8^3+VLOOKUP($W8,胸囲データ!$R$12:$W$16,4,TRUE)*$W8^2+VLOOKUP($W8,胸囲データ!$R$12:$W$16,5,TRUE)*$W8+VLOOKUP($W8,胸囲データ!$R$12:$W$16,6,TRUE)</f>
        <v>#N/A</v>
      </c>
      <c r="BE8" s="81" t="e">
        <f>VLOOKUP($W8,胸囲データ!$R$17:$W$18,3,TRUE)*$W8^3+VLOOKUP($W8,胸囲データ!$R$17:$W$18,4,TRUE)*$W8^2+VLOOKUP($W8,胸囲データ!$R$17:$W$18,5,TRUE)*$W8+VLOOKUP($W8,胸囲データ!$R$17:$W$18,6,TRUE)</f>
        <v>#N/A</v>
      </c>
    </row>
    <row r="9" spans="1:62" x14ac:dyDescent="0.15">
      <c r="A9" s="35"/>
      <c r="B9" s="36"/>
      <c r="C9" s="36"/>
      <c r="D9" s="49"/>
      <c r="E9" s="49"/>
      <c r="F9" s="51" t="str">
        <f t="shared" ref="F9" si="28">IF(ISNA(W9),"",INT(W9))</f>
        <v/>
      </c>
      <c r="G9" s="37" t="str">
        <f t="shared" si="0"/>
        <v/>
      </c>
      <c r="H9" s="38" t="str">
        <f>IF(ISERROR(W9),"",VLOOKUP(W9,成長曲線_データ!$D$4:$AC$214,3,TRUE))</f>
        <v/>
      </c>
      <c r="I9" s="39" t="str">
        <f t="shared" si="1"/>
        <v/>
      </c>
      <c r="J9" s="39" t="str">
        <f t="shared" si="2"/>
        <v/>
      </c>
      <c r="K9" s="39" t="str">
        <f t="shared" si="3"/>
        <v/>
      </c>
      <c r="L9" s="39" t="str">
        <f t="shared" si="4"/>
        <v/>
      </c>
      <c r="M9" s="39" t="str">
        <f t="shared" si="27"/>
        <v/>
      </c>
      <c r="N9" s="40" t="str">
        <f t="shared" si="5"/>
        <v/>
      </c>
      <c r="O9" s="40" t="str">
        <f t="shared" si="6"/>
        <v/>
      </c>
      <c r="P9" s="40" t="str">
        <f t="shared" si="7"/>
        <v/>
      </c>
      <c r="Q9" s="39" t="str">
        <f t="shared" si="8"/>
        <v/>
      </c>
      <c r="R9" s="39" t="str">
        <f t="shared" si="9"/>
        <v/>
      </c>
      <c r="S9" s="39" t="str">
        <f t="shared" si="10"/>
        <v/>
      </c>
      <c r="T9" s="41" t="str">
        <f t="shared" si="11"/>
        <v/>
      </c>
      <c r="V9" s="83" t="str">
        <f>"縦断的標準身長・成長速度曲線 "&amp;入力!$B$2&amp;"児(0-18歳)"</f>
        <v>縦断的標準身長・成長速度曲線 児(0-18歳)</v>
      </c>
      <c r="W9" s="79" t="e">
        <f>IF(AND($B$3&gt;0,$A9&gt;0,$A9-$B$3&gt;=0),($A9-$B$3)/365.25,NA())</f>
        <v>#N/A</v>
      </c>
      <c r="X9" s="79" t="e">
        <f t="shared" si="12"/>
        <v>#N/A</v>
      </c>
      <c r="Y9" s="80" t="e">
        <f>IF(W9="","",VLOOKUP(W9,成長曲線_データ!$D$4:$AC$214,4,TRUE))</f>
        <v>#N/A</v>
      </c>
      <c r="Z9" s="80" t="e">
        <f>IF(W9="","",VLOOKUP(W9,成長曲線_データ!$D$4:$AC$214,12,TRUE))</f>
        <v>#N/A</v>
      </c>
      <c r="AA9" s="81" t="e">
        <f>IF(W9="","",VLOOKUP(W9,成長曲線_データ!$D$4:$AC$214,13,TRUE))</f>
        <v>#N/A</v>
      </c>
      <c r="AB9" s="94" t="e">
        <f t="shared" si="13"/>
        <v>#N/A</v>
      </c>
      <c r="AC9" s="82" t="e">
        <f>IF(W9&lt;0.5,NA(),VLOOKUP((W9+1/8),成長曲線_データ!$V$4:$AA$73,2,TRUE))</f>
        <v>#N/A</v>
      </c>
      <c r="AD9" s="82" t="e">
        <f>IF(W9&lt;1,NA(),VLOOKUP(W9,成長曲線_データ!$V$4:$AA$73,3,TRUE))</f>
        <v>#N/A</v>
      </c>
      <c r="AE9" s="82" t="e">
        <f>IF(W9&lt;=6.5,VLOOKUP(W9,頭囲データ!$C$10:$E$85,2,TRUE),NA())</f>
        <v>#N/A</v>
      </c>
      <c r="AF9" s="82" t="e">
        <f>IF(W9&lt;=6.5,VLOOKUP(W9,頭囲データ!$C$10:$E$85,3,TRUE),NA())</f>
        <v>#N/A</v>
      </c>
      <c r="AG9" s="89" t="str">
        <f>入力!F9&amp;"y"&amp;入力!G9&amp;"m"</f>
        <v>ym</v>
      </c>
      <c r="AH9" s="89" t="e">
        <f>IF(AND(入力!W9&gt;=1,入力!W9&lt;6,入力!B9&gt;=70,入力!B9&lt;=120),入力!B9,NA())</f>
        <v>#N/A</v>
      </c>
      <c r="AI9" s="89" t="e">
        <f>IF(AND(入力!W9&gt;=1,入力!W9&lt;6,入力!B9&gt;=70,入力!B9&lt;=120),入力!X9,NA())</f>
        <v>#N/A</v>
      </c>
      <c r="AJ9" s="89" t="e">
        <f>IF(AND(入力!W9&gt;=6,入力!B9&gt;=100,入力!B9&lt;=184),入力!B9,NA())</f>
        <v>#N/A</v>
      </c>
      <c r="AK9" s="89" t="e">
        <f>IF(AND(入力!W9&gt;=6,入力!B9&gt;=100,入力!B9&lt;=184),入力!X9,NA())</f>
        <v>#N/A</v>
      </c>
      <c r="AL9" s="82" t="e">
        <f t="shared" si="14"/>
        <v>#N/A</v>
      </c>
      <c r="AM9" s="82"/>
      <c r="AN9" s="80" t="e">
        <f t="shared" si="15"/>
        <v>#N/A</v>
      </c>
      <c r="AO9" s="80" t="e">
        <f t="shared" si="16"/>
        <v>#N/A</v>
      </c>
      <c r="AP9" s="81" t="e">
        <f t="shared" si="17"/>
        <v>#N/A</v>
      </c>
      <c r="AQ9" s="81" t="e">
        <f t="shared" si="18"/>
        <v>#VALUE!</v>
      </c>
      <c r="AR9" s="81" t="e">
        <f t="shared" si="19"/>
        <v>#N/A</v>
      </c>
      <c r="AS9" s="81" t="e">
        <f t="shared" si="20"/>
        <v>#N/A</v>
      </c>
      <c r="AT9" s="81" t="e">
        <f t="shared" si="21"/>
        <v>#N/A</v>
      </c>
      <c r="AU9" s="81" t="e">
        <f t="shared" si="22"/>
        <v>#N/A</v>
      </c>
      <c r="AV9" s="81" t="e">
        <f t="shared" si="23"/>
        <v>#N/A</v>
      </c>
      <c r="AW9" s="81" t="e">
        <f t="shared" si="24"/>
        <v>#N/A</v>
      </c>
      <c r="AX9" s="81" t="e">
        <f t="shared" si="25"/>
        <v>#N/A</v>
      </c>
      <c r="AY9" s="81" t="e">
        <f>VLOOKUP($W9,頭囲データ!$R$10:$W$11,3,TRUE)*$W9^3+VLOOKUP($W9,頭囲データ!$R$10:$W$11,4,TRUE)*$W9^2+VLOOKUP($W9,頭囲データ!$R$10:$W$11,5,TRUE)*$W9+VLOOKUP($W9,頭囲データ!$R$10:$W$11,6,TRUE)</f>
        <v>#N/A</v>
      </c>
      <c r="AZ9" s="81" t="e">
        <f>VLOOKUP($W9,頭囲データ!$R$12:$W$16,3,TRUE)*$W9^3+VLOOKUP($W9,頭囲データ!$R$12:$W$16,4,TRUE)*$W9^2+VLOOKUP($W9,頭囲データ!$R$12:$W$16,5,TRUE)*$W9+VLOOKUP($W9,頭囲データ!$R$12:$W$16,6,TRUE)</f>
        <v>#N/A</v>
      </c>
      <c r="BA9" s="81" t="e">
        <f>VLOOKUP($W9,頭囲データ!$R$17:$W$18,3,TRUE)*$W9^3+VLOOKUP($W9,頭囲データ!$R$17:$W$18,4,TRUE)*$W9^2+VLOOKUP($W9,頭囲データ!$R$17:$W$18,5,TRUE)*$W9+VLOOKUP($W9,頭囲データ!$R$17:$W$18,6,TRUE)</f>
        <v>#N/A</v>
      </c>
      <c r="BB9" s="81" t="e">
        <f t="shared" si="26"/>
        <v>#N/A</v>
      </c>
      <c r="BC9" s="81" t="e">
        <f>VLOOKUP($W9,胸囲データ!$R$10:$W$11,3,TRUE)*$W9^3+VLOOKUP($W9,胸囲データ!$R$10:$W$11,4,TRUE)*$W9^2+VLOOKUP($W9,胸囲データ!$R$10:$W$11,5,TRUE)*$W9+VLOOKUP($W9,胸囲データ!$R$10:$W$11,6,TRUE)</f>
        <v>#N/A</v>
      </c>
      <c r="BD9" s="81" t="e">
        <f>VLOOKUP($W9,胸囲データ!$R$12:$W$16,3,TRUE)*$W9^3+VLOOKUP($W9,胸囲データ!$R$12:$W$16,4,TRUE)*$W9^2+VLOOKUP($W9,胸囲データ!$R$12:$W$16,5,TRUE)*$W9+VLOOKUP($W9,胸囲データ!$R$12:$W$16,6,TRUE)</f>
        <v>#N/A</v>
      </c>
      <c r="BE9" s="81" t="e">
        <f>VLOOKUP($W9,胸囲データ!$R$17:$W$18,3,TRUE)*$W9^3+VLOOKUP($W9,胸囲データ!$R$17:$W$18,4,TRUE)*$W9^2+VLOOKUP($W9,胸囲データ!$R$17:$W$18,5,TRUE)*$W9+VLOOKUP($W9,胸囲データ!$R$17:$W$18,6,TRUE)</f>
        <v>#N/A</v>
      </c>
    </row>
    <row r="10" spans="1:62" x14ac:dyDescent="0.15">
      <c r="A10" s="35"/>
      <c r="B10" s="36"/>
      <c r="C10" s="36"/>
      <c r="D10" s="49"/>
      <c r="E10" s="49"/>
      <c r="F10" s="51" t="str">
        <f t="shared" ref="F10:F73" si="29">IF(ISNA(W10),"",INT(W10))</f>
        <v/>
      </c>
      <c r="G10" s="37" t="str">
        <f t="shared" si="0"/>
        <v/>
      </c>
      <c r="H10" s="38" t="str">
        <f>IF(ISERROR(W10),"",VLOOKUP(W10,成長曲線_データ!$D$4:$AC$214,3,TRUE))</f>
        <v/>
      </c>
      <c r="I10" s="39" t="str">
        <f t="shared" si="1"/>
        <v/>
      </c>
      <c r="J10" s="39" t="str">
        <f t="shared" si="2"/>
        <v/>
      </c>
      <c r="K10" s="39" t="str">
        <f t="shared" si="3"/>
        <v/>
      </c>
      <c r="L10" s="39" t="str">
        <f t="shared" si="4"/>
        <v/>
      </c>
      <c r="M10" s="39" t="str">
        <f t="shared" si="27"/>
        <v/>
      </c>
      <c r="N10" s="40" t="str">
        <f t="shared" si="5"/>
        <v/>
      </c>
      <c r="O10" s="40" t="str">
        <f t="shared" si="6"/>
        <v/>
      </c>
      <c r="P10" s="40" t="str">
        <f t="shared" si="7"/>
        <v/>
      </c>
      <c r="Q10" s="39" t="str">
        <f t="shared" si="8"/>
        <v/>
      </c>
      <c r="R10" s="39" t="str">
        <f t="shared" si="9"/>
        <v/>
      </c>
      <c r="S10" s="39" t="str">
        <f t="shared" si="10"/>
        <v/>
      </c>
      <c r="T10" s="41" t="str">
        <f t="shared" si="11"/>
        <v/>
      </c>
      <c r="V10" s="83" t="str">
        <f>$B$1&amp;" 身長"</f>
        <v xml:space="preserve"> 身長</v>
      </c>
      <c r="W10" s="79" t="e">
        <f>IF(AND($B$3&gt;0,$A10&gt;0,$A10-$B$3&gt;=0),($A10-$B$3)/365.25,NA())</f>
        <v>#N/A</v>
      </c>
      <c r="X10" s="79" t="e">
        <f t="shared" si="12"/>
        <v>#N/A</v>
      </c>
      <c r="Y10" s="80" t="e">
        <f>IF(W10="","",VLOOKUP(W10,成長曲線_データ!$D$4:$AC$214,4,TRUE))</f>
        <v>#N/A</v>
      </c>
      <c r="Z10" s="80" t="e">
        <f>IF(W10="","",VLOOKUP(W10,成長曲線_データ!$D$4:$AC$214,12,TRUE))</f>
        <v>#N/A</v>
      </c>
      <c r="AA10" s="81" t="e">
        <f>IF(W10="","",VLOOKUP(W10,成長曲線_データ!$D$4:$AC$214,13,TRUE))</f>
        <v>#N/A</v>
      </c>
      <c r="AB10" s="94" t="e">
        <f t="shared" si="13"/>
        <v>#N/A</v>
      </c>
      <c r="AC10" s="82" t="e">
        <f>IF(W10&lt;0.5,NA(),VLOOKUP((W10+1/8),成長曲線_データ!$V$4:$AA$73,2,TRUE))</f>
        <v>#N/A</v>
      </c>
      <c r="AD10" s="82" t="e">
        <f>IF(W10&lt;1,NA(),VLOOKUP(W10,成長曲線_データ!$V$4:$AA$73,3,TRUE))</f>
        <v>#N/A</v>
      </c>
      <c r="AE10" s="82" t="e">
        <f>IF(W10&lt;=6.5,VLOOKUP(W10,頭囲データ!$C$10:$E$85,2,TRUE),NA())</f>
        <v>#N/A</v>
      </c>
      <c r="AF10" s="82" t="e">
        <f>IF(W10&lt;=6.5,VLOOKUP(W10,頭囲データ!$C$10:$E$85,3,TRUE),NA())</f>
        <v>#N/A</v>
      </c>
      <c r="AG10" s="89" t="str">
        <f>入力!F10&amp;"y"&amp;入力!G10&amp;"m"</f>
        <v>ym</v>
      </c>
      <c r="AH10" s="89" t="e">
        <f>IF(AND(入力!W10&gt;=1,入力!W10&lt;6,入力!B10&gt;=70,入力!B10&lt;=120),入力!B10,NA())</f>
        <v>#N/A</v>
      </c>
      <c r="AI10" s="89" t="e">
        <f>IF(AND(入力!W10&gt;=1,入力!W10&lt;6,入力!B10&gt;=70,入力!B10&lt;=120),入力!X10,NA())</f>
        <v>#N/A</v>
      </c>
      <c r="AJ10" s="89" t="e">
        <f>IF(AND(入力!W10&gt;=6,入力!B10&gt;=100,入力!B10&lt;=184),入力!B10,NA())</f>
        <v>#N/A</v>
      </c>
      <c r="AK10" s="89" t="e">
        <f>IF(AND(入力!W10&gt;=6,入力!B10&gt;=100,入力!B10&lt;=184),入力!X10,NA())</f>
        <v>#N/A</v>
      </c>
      <c r="AL10" s="82" t="e">
        <f t="shared" si="14"/>
        <v>#N/A</v>
      </c>
      <c r="AM10" s="82"/>
      <c r="AN10" s="80" t="e">
        <f t="shared" si="15"/>
        <v>#N/A</v>
      </c>
      <c r="AO10" s="80" t="e">
        <f t="shared" si="16"/>
        <v>#N/A</v>
      </c>
      <c r="AP10" s="81" t="e">
        <f t="shared" si="17"/>
        <v>#N/A</v>
      </c>
      <c r="AQ10" s="81" t="e">
        <f t="shared" si="18"/>
        <v>#VALUE!</v>
      </c>
      <c r="AR10" s="81" t="e">
        <f t="shared" si="19"/>
        <v>#N/A</v>
      </c>
      <c r="AS10" s="81" t="e">
        <f t="shared" si="20"/>
        <v>#N/A</v>
      </c>
      <c r="AT10" s="81" t="e">
        <f t="shared" si="21"/>
        <v>#N/A</v>
      </c>
      <c r="AU10" s="81" t="e">
        <f t="shared" si="22"/>
        <v>#N/A</v>
      </c>
      <c r="AV10" s="81" t="e">
        <f t="shared" si="23"/>
        <v>#N/A</v>
      </c>
      <c r="AW10" s="81" t="e">
        <f t="shared" si="24"/>
        <v>#N/A</v>
      </c>
      <c r="AX10" s="81" t="e">
        <f t="shared" si="25"/>
        <v>#N/A</v>
      </c>
      <c r="AY10" s="81" t="e">
        <f>VLOOKUP($W10,頭囲データ!$R$10:$W$11,3,TRUE)*$W10^3+VLOOKUP($W10,頭囲データ!$R$10:$W$11,4,TRUE)*$W10^2+VLOOKUP($W10,頭囲データ!$R$10:$W$11,5,TRUE)*$W10+VLOOKUP($W10,頭囲データ!$R$10:$W$11,6,TRUE)</f>
        <v>#N/A</v>
      </c>
      <c r="AZ10" s="81" t="e">
        <f>VLOOKUP($W10,頭囲データ!$R$12:$W$16,3,TRUE)*$W10^3+VLOOKUP($W10,頭囲データ!$R$12:$W$16,4,TRUE)*$W10^2+VLOOKUP($W10,頭囲データ!$R$12:$W$16,5,TRUE)*$W10+VLOOKUP($W10,頭囲データ!$R$12:$W$16,6,TRUE)</f>
        <v>#N/A</v>
      </c>
      <c r="BA10" s="81" t="e">
        <f>VLOOKUP($W10,頭囲データ!$R$17:$W$18,3,TRUE)*$W10^3+VLOOKUP($W10,頭囲データ!$R$17:$W$18,4,TRUE)*$W10^2+VLOOKUP($W10,頭囲データ!$R$17:$W$18,5,TRUE)*$W10+VLOOKUP($W10,頭囲データ!$R$17:$W$18,6,TRUE)</f>
        <v>#N/A</v>
      </c>
      <c r="BB10" s="81" t="e">
        <f t="shared" si="26"/>
        <v>#N/A</v>
      </c>
      <c r="BC10" s="81" t="e">
        <f>VLOOKUP($W10,胸囲データ!$R$10:$W$11,3,TRUE)*$W10^3+VLOOKUP($W10,胸囲データ!$R$10:$W$11,4,TRUE)*$W10^2+VLOOKUP($W10,胸囲データ!$R$10:$W$11,5,TRUE)*$W10+VLOOKUP($W10,胸囲データ!$R$10:$W$11,6,TRUE)</f>
        <v>#N/A</v>
      </c>
      <c r="BD10" s="81" t="e">
        <f>VLOOKUP($W10,胸囲データ!$R$12:$W$16,3,TRUE)*$W10^3+VLOOKUP($W10,胸囲データ!$R$12:$W$16,4,TRUE)*$W10^2+VLOOKUP($W10,胸囲データ!$R$12:$W$16,5,TRUE)*$W10+VLOOKUP($W10,胸囲データ!$R$12:$W$16,6,TRUE)</f>
        <v>#N/A</v>
      </c>
      <c r="BE10" s="81" t="e">
        <f>VLOOKUP($W10,胸囲データ!$R$17:$W$18,3,TRUE)*$W10^3+VLOOKUP($W10,胸囲データ!$R$17:$W$18,4,TRUE)*$W10^2+VLOOKUP($W10,胸囲データ!$R$17:$W$18,5,TRUE)*$W10+VLOOKUP($W10,胸囲データ!$R$17:$W$18,6,TRUE)</f>
        <v>#N/A</v>
      </c>
    </row>
    <row r="11" spans="1:62" x14ac:dyDescent="0.15">
      <c r="A11" s="35"/>
      <c r="B11" s="36"/>
      <c r="C11" s="36"/>
      <c r="D11" s="49"/>
      <c r="E11" s="49"/>
      <c r="F11" s="51" t="str">
        <f t="shared" si="29"/>
        <v/>
      </c>
      <c r="G11" s="37" t="str">
        <f t="shared" si="0"/>
        <v/>
      </c>
      <c r="H11" s="38" t="str">
        <f>IF(ISERROR(W11),"",VLOOKUP(W11,成長曲線_データ!$D$4:$AC$214,3,TRUE))</f>
        <v/>
      </c>
      <c r="I11" s="39" t="str">
        <f t="shared" si="1"/>
        <v/>
      </c>
      <c r="J11" s="39" t="str">
        <f t="shared" si="2"/>
        <v/>
      </c>
      <c r="K11" s="39" t="str">
        <f t="shared" si="3"/>
        <v/>
      </c>
      <c r="L11" s="39" t="str">
        <f t="shared" si="4"/>
        <v/>
      </c>
      <c r="M11" s="39" t="str">
        <f t="shared" si="27"/>
        <v/>
      </c>
      <c r="N11" s="40" t="str">
        <f t="shared" si="5"/>
        <v/>
      </c>
      <c r="O11" s="40" t="str">
        <f t="shared" si="6"/>
        <v/>
      </c>
      <c r="P11" s="40" t="str">
        <f t="shared" si="7"/>
        <v/>
      </c>
      <c r="Q11" s="39" t="str">
        <f t="shared" si="8"/>
        <v/>
      </c>
      <c r="R11" s="39" t="str">
        <f t="shared" si="9"/>
        <v/>
      </c>
      <c r="S11" s="39" t="str">
        <f t="shared" si="10"/>
        <v/>
      </c>
      <c r="T11" s="41" t="str">
        <f t="shared" si="11"/>
        <v/>
      </c>
      <c r="V11" s="83" t="str">
        <f>$B$1&amp;" 体重"</f>
        <v xml:space="preserve"> 体重</v>
      </c>
      <c r="W11" s="79" t="e">
        <f>IF(AND($B$3&gt;0,$A11&gt;0,$A11-$B$3&gt;=0),($A11-$B$3)/365.25,NA())</f>
        <v>#N/A</v>
      </c>
      <c r="X11" s="79" t="e">
        <f t="shared" si="12"/>
        <v>#N/A</v>
      </c>
      <c r="Y11" s="80" t="e">
        <f>IF(W11="","",VLOOKUP(W11,成長曲線_データ!$D$4:$AC$214,4,TRUE))</f>
        <v>#N/A</v>
      </c>
      <c r="Z11" s="80" t="e">
        <f>IF(W11="","",VLOOKUP(W11,成長曲線_データ!$D$4:$AC$214,12,TRUE))</f>
        <v>#N/A</v>
      </c>
      <c r="AA11" s="81" t="e">
        <f>IF(W11="","",VLOOKUP(W11,成長曲線_データ!$D$4:$AC$214,13,TRUE))</f>
        <v>#N/A</v>
      </c>
      <c r="AB11" s="94" t="e">
        <f t="shared" si="13"/>
        <v>#N/A</v>
      </c>
      <c r="AC11" s="82" t="e">
        <f>IF(W11&lt;0.5,NA(),VLOOKUP((W11+1/8),成長曲線_データ!$V$4:$AA$73,2,TRUE))</f>
        <v>#N/A</v>
      </c>
      <c r="AD11" s="82" t="e">
        <f>IF(W11&lt;1,NA(),VLOOKUP(W11,成長曲線_データ!$V$4:$AA$73,3,TRUE))</f>
        <v>#N/A</v>
      </c>
      <c r="AE11" s="82" t="e">
        <f>IF(W11&lt;=6.5,VLOOKUP(W11,頭囲データ!$C$10:$E$85,2,TRUE),NA())</f>
        <v>#N/A</v>
      </c>
      <c r="AF11" s="82" t="e">
        <f>IF(W11&lt;=6.5,VLOOKUP(W11,頭囲データ!$C$10:$E$85,3,TRUE),NA())</f>
        <v>#N/A</v>
      </c>
      <c r="AG11" s="89" t="str">
        <f>入力!F11&amp;"y"&amp;入力!G11&amp;"m"</f>
        <v>ym</v>
      </c>
      <c r="AH11" s="89" t="e">
        <f>IF(AND(入力!W11&gt;=1,入力!W11&lt;6,入力!B11&gt;=70,入力!B11&lt;=120),入力!B11,NA())</f>
        <v>#N/A</v>
      </c>
      <c r="AI11" s="89" t="e">
        <f>IF(AND(入力!W11&gt;=1,入力!W11&lt;6,入力!B11&gt;=70,入力!B11&lt;=120),入力!X11,NA())</f>
        <v>#N/A</v>
      </c>
      <c r="AJ11" s="89" t="e">
        <f>IF(AND(入力!W11&gt;=6,入力!B11&gt;=100,入力!B11&lt;=184),入力!B11,NA())</f>
        <v>#N/A</v>
      </c>
      <c r="AK11" s="89" t="e">
        <f>IF(AND(入力!W11&gt;=6,入力!B11&gt;=100,入力!B11&lt;=184),入力!X11,NA())</f>
        <v>#N/A</v>
      </c>
      <c r="AL11" s="82" t="e">
        <f t="shared" si="14"/>
        <v>#N/A</v>
      </c>
      <c r="AM11" s="82"/>
      <c r="AN11" s="80" t="e">
        <f t="shared" si="15"/>
        <v>#N/A</v>
      </c>
      <c r="AO11" s="80" t="e">
        <f t="shared" si="16"/>
        <v>#N/A</v>
      </c>
      <c r="AP11" s="81" t="e">
        <f t="shared" si="17"/>
        <v>#N/A</v>
      </c>
      <c r="AQ11" s="81" t="e">
        <f t="shared" si="18"/>
        <v>#VALUE!</v>
      </c>
      <c r="AR11" s="81" t="e">
        <f t="shared" si="19"/>
        <v>#N/A</v>
      </c>
      <c r="AS11" s="81" t="e">
        <f t="shared" si="20"/>
        <v>#N/A</v>
      </c>
      <c r="AT11" s="81" t="e">
        <f t="shared" si="21"/>
        <v>#N/A</v>
      </c>
      <c r="AU11" s="81" t="e">
        <f t="shared" si="22"/>
        <v>#N/A</v>
      </c>
      <c r="AV11" s="81" t="e">
        <f t="shared" si="23"/>
        <v>#N/A</v>
      </c>
      <c r="AW11" s="81" t="e">
        <f t="shared" si="24"/>
        <v>#N/A</v>
      </c>
      <c r="AX11" s="81" t="e">
        <f t="shared" si="25"/>
        <v>#N/A</v>
      </c>
      <c r="AY11" s="81" t="e">
        <f>VLOOKUP($W11,頭囲データ!$R$10:$W$11,3,TRUE)*$W11^3+VLOOKUP($W11,頭囲データ!$R$10:$W$11,4,TRUE)*$W11^2+VLOOKUP($W11,頭囲データ!$R$10:$W$11,5,TRUE)*$W11+VLOOKUP($W11,頭囲データ!$R$10:$W$11,6,TRUE)</f>
        <v>#N/A</v>
      </c>
      <c r="AZ11" s="81" t="e">
        <f>VLOOKUP($W11,頭囲データ!$R$12:$W$16,3,TRUE)*$W11^3+VLOOKUP($W11,頭囲データ!$R$12:$W$16,4,TRUE)*$W11^2+VLOOKUP($W11,頭囲データ!$R$12:$W$16,5,TRUE)*$W11+VLOOKUP($W11,頭囲データ!$R$12:$W$16,6,TRUE)</f>
        <v>#N/A</v>
      </c>
      <c r="BA11" s="81" t="e">
        <f>VLOOKUP($W11,頭囲データ!$R$17:$W$18,3,TRUE)*$W11^3+VLOOKUP($W11,頭囲データ!$R$17:$W$18,4,TRUE)*$W11^2+VLOOKUP($W11,頭囲データ!$R$17:$W$18,5,TRUE)*$W11+VLOOKUP($W11,頭囲データ!$R$17:$W$18,6,TRUE)</f>
        <v>#N/A</v>
      </c>
      <c r="BB11" s="81" t="e">
        <f t="shared" si="26"/>
        <v>#N/A</v>
      </c>
      <c r="BC11" s="81" t="e">
        <f>VLOOKUP($W11,胸囲データ!$R$10:$W$11,3,TRUE)*$W11^3+VLOOKUP($W11,胸囲データ!$R$10:$W$11,4,TRUE)*$W11^2+VLOOKUP($W11,胸囲データ!$R$10:$W$11,5,TRUE)*$W11+VLOOKUP($W11,胸囲データ!$R$10:$W$11,6,TRUE)</f>
        <v>#N/A</v>
      </c>
      <c r="BD11" s="81" t="e">
        <f>VLOOKUP($W11,胸囲データ!$R$12:$W$16,3,TRUE)*$W11^3+VLOOKUP($W11,胸囲データ!$R$12:$W$16,4,TRUE)*$W11^2+VLOOKUP($W11,胸囲データ!$R$12:$W$16,5,TRUE)*$W11+VLOOKUP($W11,胸囲データ!$R$12:$W$16,6,TRUE)</f>
        <v>#N/A</v>
      </c>
      <c r="BE11" s="81" t="e">
        <f>VLOOKUP($W11,胸囲データ!$R$17:$W$18,3,TRUE)*$W11^3+VLOOKUP($W11,胸囲データ!$R$17:$W$18,4,TRUE)*$W11^2+VLOOKUP($W11,胸囲データ!$R$17:$W$18,5,TRUE)*$W11+VLOOKUP($W11,胸囲データ!$R$17:$W$18,6,TRUE)</f>
        <v>#N/A</v>
      </c>
    </row>
    <row r="12" spans="1:62" x14ac:dyDescent="0.15">
      <c r="A12" s="35"/>
      <c r="B12" s="36"/>
      <c r="C12" s="36"/>
      <c r="D12" s="49"/>
      <c r="E12" s="49"/>
      <c r="F12" s="51" t="str">
        <f t="shared" si="29"/>
        <v/>
      </c>
      <c r="G12" s="37" t="str">
        <f t="shared" si="0"/>
        <v/>
      </c>
      <c r="H12" s="38" t="str">
        <f>IF(ISERROR(W12),"",VLOOKUP(W12,成長曲線_データ!$D$4:$AC$214,3,TRUE))</f>
        <v/>
      </c>
      <c r="I12" s="39" t="str">
        <f t="shared" si="1"/>
        <v/>
      </c>
      <c r="J12" s="39" t="str">
        <f t="shared" si="2"/>
        <v/>
      </c>
      <c r="K12" s="39" t="str">
        <f t="shared" si="3"/>
        <v/>
      </c>
      <c r="L12" s="39" t="str">
        <f t="shared" si="4"/>
        <v/>
      </c>
      <c r="M12" s="39" t="str">
        <f t="shared" si="27"/>
        <v/>
      </c>
      <c r="N12" s="40" t="str">
        <f t="shared" si="5"/>
        <v/>
      </c>
      <c r="O12" s="40" t="str">
        <f t="shared" si="6"/>
        <v/>
      </c>
      <c r="P12" s="40" t="str">
        <f t="shared" si="7"/>
        <v/>
      </c>
      <c r="Q12" s="39" t="str">
        <f t="shared" si="8"/>
        <v/>
      </c>
      <c r="R12" s="39" t="str">
        <f t="shared" si="9"/>
        <v/>
      </c>
      <c r="S12" s="39" t="str">
        <f t="shared" si="10"/>
        <v/>
      </c>
      <c r="T12" s="41" t="str">
        <f t="shared" si="11"/>
        <v/>
      </c>
      <c r="V12" s="83" t="str">
        <f>$B$1&amp;" BMI"</f>
        <v xml:space="preserve"> BMI</v>
      </c>
      <c r="W12" s="79" t="e">
        <f t="shared" ref="W12:W38" si="30">IF(AND($B$3&gt;0,$A12&gt;0,$A12-$B$3&gt;=0),($A12-$B$3)/365.25,NA())</f>
        <v>#N/A</v>
      </c>
      <c r="X12" s="79" t="e">
        <f t="shared" si="12"/>
        <v>#N/A</v>
      </c>
      <c r="Y12" s="80" t="e">
        <f>IF(W12="","",VLOOKUP(W12,成長曲線_データ!$D$4:$AC$214,4,TRUE))</f>
        <v>#N/A</v>
      </c>
      <c r="Z12" s="80" t="e">
        <f>IF(W12="","",VLOOKUP(W12,成長曲線_データ!$D$4:$AC$214,12,TRUE))</f>
        <v>#N/A</v>
      </c>
      <c r="AA12" s="81" t="e">
        <f>IF(W12="","",VLOOKUP(W12,成長曲線_データ!$D$4:$AC$214,13,TRUE))</f>
        <v>#N/A</v>
      </c>
      <c r="AB12" s="94" t="e">
        <f t="shared" si="13"/>
        <v>#N/A</v>
      </c>
      <c r="AC12" s="82" t="e">
        <f>IF(W12&lt;0.5,NA(),VLOOKUP((W12+1/8),成長曲線_データ!$V$4:$AA$73,2,TRUE))</f>
        <v>#N/A</v>
      </c>
      <c r="AD12" s="82" t="e">
        <f>IF(W12&lt;1,NA(),VLOOKUP(W12,成長曲線_データ!$V$4:$AA$73,3,TRUE))</f>
        <v>#N/A</v>
      </c>
      <c r="AE12" s="82" t="e">
        <f>IF(W12&lt;=6.5,VLOOKUP(W12,頭囲データ!$C$10:$E$85,2,TRUE),NA())</f>
        <v>#N/A</v>
      </c>
      <c r="AF12" s="82" t="e">
        <f>IF(W12&lt;=6.5,VLOOKUP(W12,頭囲データ!$C$10:$E$85,3,TRUE),NA())</f>
        <v>#N/A</v>
      </c>
      <c r="AG12" s="89" t="str">
        <f>入力!F12&amp;"y"&amp;入力!G12&amp;"m"</f>
        <v>ym</v>
      </c>
      <c r="AH12" s="89" t="e">
        <f>IF(AND(入力!W12&gt;=1,入力!W12&lt;6,入力!B12&gt;=70,入力!B12&lt;=120),入力!B12,NA())</f>
        <v>#N/A</v>
      </c>
      <c r="AI12" s="89" t="e">
        <f>IF(AND(入力!W12&gt;=1,入力!W12&lt;6,入力!B12&gt;=70,入力!B12&lt;=120),入力!X12,NA())</f>
        <v>#N/A</v>
      </c>
      <c r="AJ12" s="89" t="e">
        <f>IF(AND(入力!W12&gt;=6,入力!B12&gt;=100,入力!B12&lt;=184),入力!B12,NA())</f>
        <v>#N/A</v>
      </c>
      <c r="AK12" s="89" t="e">
        <f>IF(AND(入力!W12&gt;=6,入力!B12&gt;=100,入力!B12&lt;=184),入力!X12,NA())</f>
        <v>#N/A</v>
      </c>
      <c r="AL12" s="82" t="e">
        <f t="shared" si="14"/>
        <v>#N/A</v>
      </c>
      <c r="AM12" s="82"/>
      <c r="AN12" s="80" t="e">
        <f t="shared" si="15"/>
        <v>#N/A</v>
      </c>
      <c r="AO12" s="80" t="e">
        <f t="shared" si="16"/>
        <v>#N/A</v>
      </c>
      <c r="AP12" s="81" t="e">
        <f t="shared" si="17"/>
        <v>#N/A</v>
      </c>
      <c r="AQ12" s="81" t="e">
        <f t="shared" si="18"/>
        <v>#VALUE!</v>
      </c>
      <c r="AR12" s="81" t="e">
        <f t="shared" si="19"/>
        <v>#N/A</v>
      </c>
      <c r="AS12" s="81" t="e">
        <f t="shared" si="20"/>
        <v>#N/A</v>
      </c>
      <c r="AT12" s="81" t="e">
        <f t="shared" si="21"/>
        <v>#N/A</v>
      </c>
      <c r="AU12" s="81" t="e">
        <f t="shared" si="22"/>
        <v>#N/A</v>
      </c>
      <c r="AV12" s="81" t="e">
        <f t="shared" si="23"/>
        <v>#N/A</v>
      </c>
      <c r="AW12" s="81" t="e">
        <f t="shared" si="24"/>
        <v>#N/A</v>
      </c>
      <c r="AX12" s="81" t="e">
        <f t="shared" si="25"/>
        <v>#N/A</v>
      </c>
      <c r="AY12" s="81" t="e">
        <f>VLOOKUP($W12,頭囲データ!$R$10:$W$11,3,TRUE)*$W12^3+VLOOKUP($W12,頭囲データ!$R$10:$W$11,4,TRUE)*$W12^2+VLOOKUP($W12,頭囲データ!$R$10:$W$11,5,TRUE)*$W12+VLOOKUP($W12,頭囲データ!$R$10:$W$11,6,TRUE)</f>
        <v>#N/A</v>
      </c>
      <c r="AZ12" s="81" t="e">
        <f>VLOOKUP($W12,頭囲データ!$R$12:$W$16,3,TRUE)*$W12^3+VLOOKUP($W12,頭囲データ!$R$12:$W$16,4,TRUE)*$W12^2+VLOOKUP($W12,頭囲データ!$R$12:$W$16,5,TRUE)*$W12+VLOOKUP($W12,頭囲データ!$R$12:$W$16,6,TRUE)</f>
        <v>#N/A</v>
      </c>
      <c r="BA12" s="81" t="e">
        <f>VLOOKUP($W12,頭囲データ!$R$17:$W$18,3,TRUE)*$W12^3+VLOOKUP($W12,頭囲データ!$R$17:$W$18,4,TRUE)*$W12^2+VLOOKUP($W12,頭囲データ!$R$17:$W$18,5,TRUE)*$W12+VLOOKUP($W12,頭囲データ!$R$17:$W$18,6,TRUE)</f>
        <v>#N/A</v>
      </c>
      <c r="BB12" s="81" t="e">
        <f t="shared" si="26"/>
        <v>#N/A</v>
      </c>
      <c r="BC12" s="81" t="e">
        <f>VLOOKUP($W12,胸囲データ!$R$10:$W$11,3,TRUE)*$W12^3+VLOOKUP($W12,胸囲データ!$R$10:$W$11,4,TRUE)*$W12^2+VLOOKUP($W12,胸囲データ!$R$10:$W$11,5,TRUE)*$W12+VLOOKUP($W12,胸囲データ!$R$10:$W$11,6,TRUE)</f>
        <v>#N/A</v>
      </c>
      <c r="BD12" s="81" t="e">
        <f>VLOOKUP($W12,胸囲データ!$R$12:$W$16,3,TRUE)*$W12^3+VLOOKUP($W12,胸囲データ!$R$12:$W$16,4,TRUE)*$W12^2+VLOOKUP($W12,胸囲データ!$R$12:$W$16,5,TRUE)*$W12+VLOOKUP($W12,胸囲データ!$R$12:$W$16,6,TRUE)</f>
        <v>#N/A</v>
      </c>
      <c r="BE12" s="81" t="e">
        <f>VLOOKUP($W12,胸囲データ!$R$17:$W$18,3,TRUE)*$W12^3+VLOOKUP($W12,胸囲データ!$R$17:$W$18,4,TRUE)*$W12^2+VLOOKUP($W12,胸囲データ!$R$17:$W$18,5,TRUE)*$W12+VLOOKUP($W12,胸囲データ!$R$17:$W$18,6,TRUE)</f>
        <v>#N/A</v>
      </c>
    </row>
    <row r="13" spans="1:62" x14ac:dyDescent="0.15">
      <c r="A13" s="35"/>
      <c r="B13" s="36"/>
      <c r="C13" s="36"/>
      <c r="D13" s="49"/>
      <c r="E13" s="49"/>
      <c r="F13" s="51" t="str">
        <f t="shared" si="29"/>
        <v/>
      </c>
      <c r="G13" s="37" t="str">
        <f t="shared" si="0"/>
        <v/>
      </c>
      <c r="H13" s="38" t="str">
        <f>IF(ISERROR(W13),"",VLOOKUP(W13,成長曲線_データ!$D$4:$AC$214,3,TRUE))</f>
        <v/>
      </c>
      <c r="I13" s="39" t="str">
        <f t="shared" si="1"/>
        <v/>
      </c>
      <c r="J13" s="39" t="str">
        <f t="shared" si="2"/>
        <v/>
      </c>
      <c r="K13" s="39" t="str">
        <f t="shared" si="3"/>
        <v/>
      </c>
      <c r="L13" s="39" t="str">
        <f t="shared" si="4"/>
        <v/>
      </c>
      <c r="M13" s="39" t="str">
        <f t="shared" si="27"/>
        <v/>
      </c>
      <c r="N13" s="40" t="str">
        <f t="shared" si="5"/>
        <v/>
      </c>
      <c r="O13" s="40" t="str">
        <f t="shared" si="6"/>
        <v/>
      </c>
      <c r="P13" s="40" t="str">
        <f t="shared" si="7"/>
        <v/>
      </c>
      <c r="Q13" s="39" t="str">
        <f t="shared" si="8"/>
        <v/>
      </c>
      <c r="R13" s="39" t="str">
        <f t="shared" si="9"/>
        <v/>
      </c>
      <c r="S13" s="39" t="str">
        <f t="shared" si="10"/>
        <v/>
      </c>
      <c r="T13" s="41" t="str">
        <f t="shared" si="11"/>
        <v/>
      </c>
      <c r="V13" s="83" t="str">
        <f>$B$1&amp;" 成長速度"</f>
        <v xml:space="preserve"> 成長速度</v>
      </c>
      <c r="W13" s="79" t="e">
        <f t="shared" si="30"/>
        <v>#N/A</v>
      </c>
      <c r="X13" s="79" t="e">
        <f t="shared" si="12"/>
        <v>#N/A</v>
      </c>
      <c r="Y13" s="80" t="e">
        <f>IF(W13="","",VLOOKUP(W13,成長曲線_データ!$D$4:$AC$214,4,TRUE))</f>
        <v>#N/A</v>
      </c>
      <c r="Z13" s="80" t="e">
        <f>IF(W13="","",VLOOKUP(W13,成長曲線_データ!$D$4:$AC$214,12,TRUE))</f>
        <v>#N/A</v>
      </c>
      <c r="AA13" s="81" t="e">
        <f>IF(W13="","",VLOOKUP(W13,成長曲線_データ!$D$4:$AC$214,13,TRUE))</f>
        <v>#N/A</v>
      </c>
      <c r="AB13" s="94" t="e">
        <f t="shared" si="13"/>
        <v>#N/A</v>
      </c>
      <c r="AC13" s="82" t="e">
        <f>IF(W13&lt;0.5,NA(),VLOOKUP((W13+1/8),成長曲線_データ!$V$4:$AA$73,2,TRUE))</f>
        <v>#N/A</v>
      </c>
      <c r="AD13" s="82" t="e">
        <f>IF(W13&lt;1,NA(),VLOOKUP(W13,成長曲線_データ!$V$4:$AA$73,3,TRUE))</f>
        <v>#N/A</v>
      </c>
      <c r="AE13" s="82" t="e">
        <f>IF(W13&lt;=6.5,VLOOKUP(W13,頭囲データ!$C$10:$E$85,2,TRUE),NA())</f>
        <v>#N/A</v>
      </c>
      <c r="AF13" s="82" t="e">
        <f>IF(W13&lt;=6.5,VLOOKUP(W13,頭囲データ!$C$10:$E$85,3,TRUE),NA())</f>
        <v>#N/A</v>
      </c>
      <c r="AG13" s="89" t="str">
        <f>入力!F13&amp;"y"&amp;入力!G13&amp;"m"</f>
        <v>ym</v>
      </c>
      <c r="AH13" s="89" t="e">
        <f>IF(AND(入力!W13&gt;=1,入力!W13&lt;6,入力!B13&gt;=70,入力!B13&lt;=120),入力!B13,NA())</f>
        <v>#N/A</v>
      </c>
      <c r="AI13" s="89" t="e">
        <f>IF(AND(入力!W13&gt;=1,入力!W13&lt;6,入力!B13&gt;=70,入力!B13&lt;=120),入力!X13,NA())</f>
        <v>#N/A</v>
      </c>
      <c r="AJ13" s="89" t="e">
        <f>IF(AND(入力!W13&gt;=6,入力!B13&gt;=100,入力!B13&lt;=184),入力!B13,NA())</f>
        <v>#N/A</v>
      </c>
      <c r="AK13" s="89" t="e">
        <f>IF(AND(入力!W13&gt;=6,入力!B13&gt;=100,入力!B13&lt;=184),入力!X13,NA())</f>
        <v>#N/A</v>
      </c>
      <c r="AL13" s="82" t="e">
        <f t="shared" si="14"/>
        <v>#N/A</v>
      </c>
      <c r="AM13" s="82"/>
      <c r="AN13" s="80" t="e">
        <f t="shared" si="15"/>
        <v>#N/A</v>
      </c>
      <c r="AO13" s="80" t="e">
        <f t="shared" si="16"/>
        <v>#N/A</v>
      </c>
      <c r="AP13" s="81" t="e">
        <f t="shared" si="17"/>
        <v>#N/A</v>
      </c>
      <c r="AQ13" s="81" t="e">
        <f t="shared" si="18"/>
        <v>#VALUE!</v>
      </c>
      <c r="AR13" s="81" t="e">
        <f t="shared" si="19"/>
        <v>#N/A</v>
      </c>
      <c r="AS13" s="81" t="e">
        <f t="shared" si="20"/>
        <v>#N/A</v>
      </c>
      <c r="AT13" s="81" t="e">
        <f t="shared" si="21"/>
        <v>#N/A</v>
      </c>
      <c r="AU13" s="81" t="e">
        <f t="shared" si="22"/>
        <v>#N/A</v>
      </c>
      <c r="AV13" s="81" t="e">
        <f t="shared" si="23"/>
        <v>#N/A</v>
      </c>
      <c r="AW13" s="81" t="e">
        <f t="shared" si="24"/>
        <v>#N/A</v>
      </c>
      <c r="AX13" s="81" t="e">
        <f t="shared" si="25"/>
        <v>#N/A</v>
      </c>
      <c r="AY13" s="81" t="e">
        <f>VLOOKUP($W13,頭囲データ!$R$10:$W$11,3,TRUE)*$W13^3+VLOOKUP($W13,頭囲データ!$R$10:$W$11,4,TRUE)*$W13^2+VLOOKUP($W13,頭囲データ!$R$10:$W$11,5,TRUE)*$W13+VLOOKUP($W13,頭囲データ!$R$10:$W$11,6,TRUE)</f>
        <v>#N/A</v>
      </c>
      <c r="AZ13" s="81" t="e">
        <f>VLOOKUP($W13,頭囲データ!$R$12:$W$16,3,TRUE)*$W13^3+VLOOKUP($W13,頭囲データ!$R$12:$W$16,4,TRUE)*$W13^2+VLOOKUP($W13,頭囲データ!$R$12:$W$16,5,TRUE)*$W13+VLOOKUP($W13,頭囲データ!$R$12:$W$16,6,TRUE)</f>
        <v>#N/A</v>
      </c>
      <c r="BA13" s="81" t="e">
        <f>VLOOKUP($W13,頭囲データ!$R$17:$W$18,3,TRUE)*$W13^3+VLOOKUP($W13,頭囲データ!$R$17:$W$18,4,TRUE)*$W13^2+VLOOKUP($W13,頭囲データ!$R$17:$W$18,5,TRUE)*$W13+VLOOKUP($W13,頭囲データ!$R$17:$W$18,6,TRUE)</f>
        <v>#N/A</v>
      </c>
      <c r="BB13" s="81" t="e">
        <f t="shared" si="26"/>
        <v>#N/A</v>
      </c>
      <c r="BC13" s="81" t="e">
        <f>VLOOKUP($W13,胸囲データ!$R$10:$W$11,3,TRUE)*$W13^3+VLOOKUP($W13,胸囲データ!$R$10:$W$11,4,TRUE)*$W13^2+VLOOKUP($W13,胸囲データ!$R$10:$W$11,5,TRUE)*$W13+VLOOKUP($W13,胸囲データ!$R$10:$W$11,6,TRUE)</f>
        <v>#N/A</v>
      </c>
      <c r="BD13" s="81" t="e">
        <f>VLOOKUP($W13,胸囲データ!$R$12:$W$16,3,TRUE)*$W13^3+VLOOKUP($W13,胸囲データ!$R$12:$W$16,4,TRUE)*$W13^2+VLOOKUP($W13,胸囲データ!$R$12:$W$16,5,TRUE)*$W13+VLOOKUP($W13,胸囲データ!$R$12:$W$16,6,TRUE)</f>
        <v>#N/A</v>
      </c>
      <c r="BE13" s="81" t="e">
        <f>VLOOKUP($W13,胸囲データ!$R$17:$W$18,3,TRUE)*$W13^3+VLOOKUP($W13,胸囲データ!$R$17:$W$18,4,TRUE)*$W13^2+VLOOKUP($W13,胸囲データ!$R$17:$W$18,5,TRUE)*$W13+VLOOKUP($W13,胸囲データ!$R$17:$W$18,6,TRUE)</f>
        <v>#N/A</v>
      </c>
    </row>
    <row r="14" spans="1:62" x14ac:dyDescent="0.15">
      <c r="A14" s="35"/>
      <c r="B14" s="36"/>
      <c r="C14" s="36"/>
      <c r="D14" s="49"/>
      <c r="E14" s="49"/>
      <c r="F14" s="51" t="str">
        <f t="shared" si="29"/>
        <v/>
      </c>
      <c r="G14" s="37" t="str">
        <f t="shared" si="0"/>
        <v/>
      </c>
      <c r="H14" s="38" t="str">
        <f>IF(ISERROR(W14),"",VLOOKUP(W14,成長曲線_データ!$D$4:$AC$214,3,TRUE))</f>
        <v/>
      </c>
      <c r="I14" s="39" t="str">
        <f t="shared" si="1"/>
        <v/>
      </c>
      <c r="J14" s="39" t="str">
        <f t="shared" si="2"/>
        <v/>
      </c>
      <c r="K14" s="39" t="str">
        <f t="shared" si="3"/>
        <v/>
      </c>
      <c r="L14" s="39" t="str">
        <f t="shared" si="4"/>
        <v/>
      </c>
      <c r="M14" s="39" t="str">
        <f t="shared" si="27"/>
        <v/>
      </c>
      <c r="N14" s="40" t="str">
        <f t="shared" si="5"/>
        <v/>
      </c>
      <c r="O14" s="40" t="str">
        <f t="shared" si="6"/>
        <v/>
      </c>
      <c r="P14" s="40" t="str">
        <f t="shared" si="7"/>
        <v/>
      </c>
      <c r="Q14" s="39" t="str">
        <f t="shared" si="8"/>
        <v/>
      </c>
      <c r="R14" s="39" t="str">
        <f t="shared" si="9"/>
        <v/>
      </c>
      <c r="S14" s="39" t="str">
        <f t="shared" si="10"/>
        <v/>
      </c>
      <c r="T14" s="41" t="str">
        <f t="shared" si="11"/>
        <v/>
      </c>
      <c r="V14" s="90"/>
      <c r="W14" s="79" t="e">
        <f t="shared" si="30"/>
        <v>#N/A</v>
      </c>
      <c r="X14" s="79" t="e">
        <f t="shared" si="12"/>
        <v>#N/A</v>
      </c>
      <c r="Y14" s="80" t="e">
        <f>IF(W14="","",VLOOKUP(W14,成長曲線_データ!$D$4:$AC$214,4,TRUE))</f>
        <v>#N/A</v>
      </c>
      <c r="Z14" s="80" t="e">
        <f>IF(W14="","",VLOOKUP(W14,成長曲線_データ!$D$4:$AC$214,12,TRUE))</f>
        <v>#N/A</v>
      </c>
      <c r="AA14" s="81" t="e">
        <f>IF(W14="","",VLOOKUP(W14,成長曲線_データ!$D$4:$AC$214,13,TRUE))</f>
        <v>#N/A</v>
      </c>
      <c r="AB14" s="94" t="e">
        <f t="shared" si="13"/>
        <v>#N/A</v>
      </c>
      <c r="AC14" s="82" t="e">
        <f>IF(W14&lt;0.5,NA(),VLOOKUP((W14+1/8),成長曲線_データ!$V$4:$AA$73,2,TRUE))</f>
        <v>#N/A</v>
      </c>
      <c r="AD14" s="82" t="e">
        <f>IF(W14&lt;1,NA(),VLOOKUP(W14,成長曲線_データ!$V$4:$AA$73,3,TRUE))</f>
        <v>#N/A</v>
      </c>
      <c r="AE14" s="82" t="e">
        <f>IF(W14&lt;=6.5,VLOOKUP(W14,頭囲データ!$C$10:$E$85,2,TRUE),NA())</f>
        <v>#N/A</v>
      </c>
      <c r="AF14" s="82" t="e">
        <f>IF(W14&lt;=6.5,VLOOKUP(W14,頭囲データ!$C$10:$E$85,3,TRUE),NA())</f>
        <v>#N/A</v>
      </c>
      <c r="AG14" s="89" t="str">
        <f>入力!F14&amp;"y"&amp;入力!G14&amp;"m"</f>
        <v>ym</v>
      </c>
      <c r="AH14" s="89" t="e">
        <f>IF(AND(入力!W14&gt;=1,入力!W14&lt;6,入力!B14&gt;=70,入力!B14&lt;=120),入力!B14,NA())</f>
        <v>#N/A</v>
      </c>
      <c r="AI14" s="89" t="e">
        <f>IF(AND(入力!W14&gt;=1,入力!W14&lt;6,入力!B14&gt;=70,入力!B14&lt;=120),入力!X14,NA())</f>
        <v>#N/A</v>
      </c>
      <c r="AJ14" s="89" t="e">
        <f>IF(AND(入力!W14&gt;=6,入力!B14&gt;=100,入力!B14&lt;=184),入力!B14,NA())</f>
        <v>#N/A</v>
      </c>
      <c r="AK14" s="89" t="e">
        <f>IF(AND(入力!W14&gt;=6,入力!B14&gt;=100,入力!B14&lt;=184),入力!X14,NA())</f>
        <v>#N/A</v>
      </c>
      <c r="AL14" s="82" t="e">
        <f t="shared" si="14"/>
        <v>#N/A</v>
      </c>
      <c r="AM14" s="82"/>
      <c r="AN14" s="80" t="e">
        <f t="shared" si="15"/>
        <v>#N/A</v>
      </c>
      <c r="AO14" s="80" t="e">
        <f t="shared" si="16"/>
        <v>#N/A</v>
      </c>
      <c r="AP14" s="81" t="e">
        <f t="shared" si="17"/>
        <v>#N/A</v>
      </c>
      <c r="AQ14" s="81" t="e">
        <f t="shared" si="18"/>
        <v>#VALUE!</v>
      </c>
      <c r="AR14" s="81" t="e">
        <f t="shared" si="19"/>
        <v>#N/A</v>
      </c>
      <c r="AS14" s="81" t="e">
        <f t="shared" si="20"/>
        <v>#N/A</v>
      </c>
      <c r="AT14" s="81" t="e">
        <f t="shared" si="21"/>
        <v>#N/A</v>
      </c>
      <c r="AU14" s="81" t="e">
        <f t="shared" si="22"/>
        <v>#N/A</v>
      </c>
      <c r="AV14" s="81" t="e">
        <f t="shared" si="23"/>
        <v>#N/A</v>
      </c>
      <c r="AW14" s="81" t="e">
        <f t="shared" si="24"/>
        <v>#N/A</v>
      </c>
      <c r="AX14" s="81" t="e">
        <f t="shared" si="25"/>
        <v>#N/A</v>
      </c>
      <c r="AY14" s="81" t="e">
        <f>VLOOKUP($W14,頭囲データ!$R$10:$W$11,3,TRUE)*$W14^3+VLOOKUP($W14,頭囲データ!$R$10:$W$11,4,TRUE)*$W14^2+VLOOKUP($W14,頭囲データ!$R$10:$W$11,5,TRUE)*$W14+VLOOKUP($W14,頭囲データ!$R$10:$W$11,6,TRUE)</f>
        <v>#N/A</v>
      </c>
      <c r="AZ14" s="81" t="e">
        <f>VLOOKUP($W14,頭囲データ!$R$12:$W$16,3,TRUE)*$W14^3+VLOOKUP($W14,頭囲データ!$R$12:$W$16,4,TRUE)*$W14^2+VLOOKUP($W14,頭囲データ!$R$12:$W$16,5,TRUE)*$W14+VLOOKUP($W14,頭囲データ!$R$12:$W$16,6,TRUE)</f>
        <v>#N/A</v>
      </c>
      <c r="BA14" s="81" t="e">
        <f>VLOOKUP($W14,頭囲データ!$R$17:$W$18,3,TRUE)*$W14^3+VLOOKUP($W14,頭囲データ!$R$17:$W$18,4,TRUE)*$W14^2+VLOOKUP($W14,頭囲データ!$R$17:$W$18,5,TRUE)*$W14+VLOOKUP($W14,頭囲データ!$R$17:$W$18,6,TRUE)</f>
        <v>#N/A</v>
      </c>
      <c r="BB14" s="81" t="e">
        <f t="shared" si="26"/>
        <v>#N/A</v>
      </c>
      <c r="BC14" s="81" t="e">
        <f>VLOOKUP($W14,胸囲データ!$R$10:$W$11,3,TRUE)*$W14^3+VLOOKUP($W14,胸囲データ!$R$10:$W$11,4,TRUE)*$W14^2+VLOOKUP($W14,胸囲データ!$R$10:$W$11,5,TRUE)*$W14+VLOOKUP($W14,胸囲データ!$R$10:$W$11,6,TRUE)</f>
        <v>#N/A</v>
      </c>
      <c r="BD14" s="81" t="e">
        <f>VLOOKUP($W14,胸囲データ!$R$12:$W$16,3,TRUE)*$W14^3+VLOOKUP($W14,胸囲データ!$R$12:$W$16,4,TRUE)*$W14^2+VLOOKUP($W14,胸囲データ!$R$12:$W$16,5,TRUE)*$W14+VLOOKUP($W14,胸囲データ!$R$12:$W$16,6,TRUE)</f>
        <v>#N/A</v>
      </c>
      <c r="BE14" s="81" t="e">
        <f>VLOOKUP($W14,胸囲データ!$R$17:$W$18,3,TRUE)*$W14^3+VLOOKUP($W14,胸囲データ!$R$17:$W$18,4,TRUE)*$W14^2+VLOOKUP($W14,胸囲データ!$R$17:$W$18,5,TRUE)*$W14+VLOOKUP($W14,胸囲データ!$R$17:$W$18,6,TRUE)</f>
        <v>#N/A</v>
      </c>
    </row>
    <row r="15" spans="1:62" x14ac:dyDescent="0.15">
      <c r="A15" s="35"/>
      <c r="B15" s="36"/>
      <c r="C15" s="36"/>
      <c r="D15" s="49"/>
      <c r="E15" s="49"/>
      <c r="F15" s="51" t="str">
        <f t="shared" si="29"/>
        <v/>
      </c>
      <c r="G15" s="37" t="str">
        <f t="shared" si="0"/>
        <v/>
      </c>
      <c r="H15" s="38" t="str">
        <f>IF(ISERROR(W15),"",VLOOKUP(W15,成長曲線_データ!$D$4:$AC$214,3,TRUE))</f>
        <v/>
      </c>
      <c r="I15" s="39" t="str">
        <f t="shared" si="1"/>
        <v/>
      </c>
      <c r="J15" s="39" t="str">
        <f t="shared" si="2"/>
        <v/>
      </c>
      <c r="K15" s="39" t="str">
        <f t="shared" si="3"/>
        <v/>
      </c>
      <c r="L15" s="39" t="str">
        <f t="shared" si="4"/>
        <v/>
      </c>
      <c r="M15" s="39" t="str">
        <f t="shared" si="27"/>
        <v/>
      </c>
      <c r="N15" s="39" t="str">
        <f t="shared" si="5"/>
        <v/>
      </c>
      <c r="O15" s="40" t="str">
        <f t="shared" si="6"/>
        <v/>
      </c>
      <c r="P15" s="40" t="str">
        <f t="shared" si="7"/>
        <v/>
      </c>
      <c r="Q15" s="39" t="str">
        <f t="shared" si="8"/>
        <v/>
      </c>
      <c r="R15" s="39" t="str">
        <f t="shared" si="9"/>
        <v/>
      </c>
      <c r="S15" s="39" t="str">
        <f t="shared" si="10"/>
        <v/>
      </c>
      <c r="T15" s="41" t="str">
        <f t="shared" si="11"/>
        <v/>
      </c>
      <c r="V15" s="90"/>
      <c r="W15" s="79" t="e">
        <f t="shared" ref="W15:W30" si="31">IF(AND($B$3&gt;0,$A15&gt;0,$A15-$B$3&gt;=0),($A15-$B$3)/365.25,NA())</f>
        <v>#N/A</v>
      </c>
      <c r="X15" s="79" t="e">
        <f t="shared" si="12"/>
        <v>#N/A</v>
      </c>
      <c r="Y15" s="80" t="e">
        <f>IF(W15="","",VLOOKUP(W15,成長曲線_データ!$D$4:$AC$214,4,TRUE))</f>
        <v>#N/A</v>
      </c>
      <c r="Z15" s="80" t="e">
        <f>IF(W15="","",VLOOKUP(W15,成長曲線_データ!$D$4:$AC$214,12,TRUE))</f>
        <v>#N/A</v>
      </c>
      <c r="AA15" s="81" t="e">
        <f>IF(W15="","",VLOOKUP(W15,成長曲線_データ!$D$4:$AC$214,13,TRUE))</f>
        <v>#N/A</v>
      </c>
      <c r="AB15" s="94" t="e">
        <f t="shared" si="13"/>
        <v>#N/A</v>
      </c>
      <c r="AC15" s="82" t="e">
        <f>IF(W15&lt;0.5,NA(),VLOOKUP((W15+1/8),成長曲線_データ!$V$4:$AA$73,2,TRUE))</f>
        <v>#N/A</v>
      </c>
      <c r="AD15" s="82" t="e">
        <f>IF(W15&lt;1,NA(),VLOOKUP(W15,成長曲線_データ!$V$4:$AA$73,3,TRUE))</f>
        <v>#N/A</v>
      </c>
      <c r="AE15" s="82" t="e">
        <f>IF(W15&lt;=6.5,VLOOKUP(W15,頭囲データ!$C$10:$E$85,2,TRUE),NA())</f>
        <v>#N/A</v>
      </c>
      <c r="AF15" s="82" t="e">
        <f>IF(W15&lt;=6.5,VLOOKUP(W15,頭囲データ!$C$10:$E$85,3,TRUE),NA())</f>
        <v>#N/A</v>
      </c>
      <c r="AG15" s="89" t="str">
        <f>入力!F15&amp;"y"&amp;入力!G15&amp;"m"</f>
        <v>ym</v>
      </c>
      <c r="AH15" s="89" t="e">
        <f>IF(AND(入力!W15&gt;=1,入力!W15&lt;6,入力!B15&gt;=70,入力!B15&lt;=120),入力!B15,NA())</f>
        <v>#N/A</v>
      </c>
      <c r="AI15" s="89" t="e">
        <f>IF(AND(入力!W15&gt;=1,入力!W15&lt;6,入力!B15&gt;=70,入力!B15&lt;=120),入力!X15,NA())</f>
        <v>#N/A</v>
      </c>
      <c r="AJ15" s="89" t="e">
        <f>IF(AND(入力!W15&gt;=6,入力!B15&gt;=100,入力!B15&lt;=184),入力!B15,NA())</f>
        <v>#N/A</v>
      </c>
      <c r="AK15" s="89" t="e">
        <f>IF(AND(入力!W15&gt;=6,入力!B15&gt;=100,入力!B15&lt;=184),入力!X15,NA())</f>
        <v>#N/A</v>
      </c>
      <c r="AL15" s="82" t="e">
        <f t="shared" si="14"/>
        <v>#N/A</v>
      </c>
      <c r="AM15" s="82"/>
      <c r="AN15" s="80" t="e">
        <f t="shared" si="15"/>
        <v>#N/A</v>
      </c>
      <c r="AO15" s="80" t="e">
        <f t="shared" si="16"/>
        <v>#N/A</v>
      </c>
      <c r="AP15" s="81" t="e">
        <f t="shared" si="17"/>
        <v>#N/A</v>
      </c>
      <c r="AQ15" s="81" t="e">
        <f t="shared" si="18"/>
        <v>#VALUE!</v>
      </c>
      <c r="AR15" s="81" t="e">
        <f t="shared" si="19"/>
        <v>#N/A</v>
      </c>
      <c r="AS15" s="81" t="e">
        <f t="shared" si="20"/>
        <v>#N/A</v>
      </c>
      <c r="AT15" s="81" t="e">
        <f t="shared" si="21"/>
        <v>#N/A</v>
      </c>
      <c r="AU15" s="81" t="e">
        <f t="shared" si="22"/>
        <v>#N/A</v>
      </c>
      <c r="AV15" s="81" t="e">
        <f t="shared" si="23"/>
        <v>#N/A</v>
      </c>
      <c r="AW15" s="81" t="e">
        <f t="shared" si="24"/>
        <v>#N/A</v>
      </c>
      <c r="AX15" s="81" t="e">
        <f t="shared" si="25"/>
        <v>#N/A</v>
      </c>
      <c r="AY15" s="81" t="e">
        <f>VLOOKUP($W15,頭囲データ!$R$10:$W$11,3,TRUE)*$W15^3+VLOOKUP($W15,頭囲データ!$R$10:$W$11,4,TRUE)*$W15^2+VLOOKUP($W15,頭囲データ!$R$10:$W$11,5,TRUE)*$W15+VLOOKUP($W15,頭囲データ!$R$10:$W$11,6,TRUE)</f>
        <v>#N/A</v>
      </c>
      <c r="AZ15" s="81" t="e">
        <f>VLOOKUP($W15,頭囲データ!$R$12:$W$16,3,TRUE)*$W15^3+VLOOKUP($W15,頭囲データ!$R$12:$W$16,4,TRUE)*$W15^2+VLOOKUP($W15,頭囲データ!$R$12:$W$16,5,TRUE)*$W15+VLOOKUP($W15,頭囲データ!$R$12:$W$16,6,TRUE)</f>
        <v>#N/A</v>
      </c>
      <c r="BA15" s="81" t="e">
        <f>VLOOKUP($W15,頭囲データ!$R$17:$W$18,3,TRUE)*$W15^3+VLOOKUP($W15,頭囲データ!$R$17:$W$18,4,TRUE)*$W15^2+VLOOKUP($W15,頭囲データ!$R$17:$W$18,5,TRUE)*$W15+VLOOKUP($W15,頭囲データ!$R$17:$W$18,6,TRUE)</f>
        <v>#N/A</v>
      </c>
      <c r="BB15" s="81" t="e">
        <f t="shared" si="26"/>
        <v>#N/A</v>
      </c>
      <c r="BC15" s="81" t="e">
        <f>VLOOKUP($W15,胸囲データ!$R$10:$W$11,3,TRUE)*$W15^3+VLOOKUP($W15,胸囲データ!$R$10:$W$11,4,TRUE)*$W15^2+VLOOKUP($W15,胸囲データ!$R$10:$W$11,5,TRUE)*$W15+VLOOKUP($W15,胸囲データ!$R$10:$W$11,6,TRUE)</f>
        <v>#N/A</v>
      </c>
      <c r="BD15" s="81" t="e">
        <f>VLOOKUP($W15,胸囲データ!$R$12:$W$16,3,TRUE)*$W15^3+VLOOKUP($W15,胸囲データ!$R$12:$W$16,4,TRUE)*$W15^2+VLOOKUP($W15,胸囲データ!$R$12:$W$16,5,TRUE)*$W15+VLOOKUP($W15,胸囲データ!$R$12:$W$16,6,TRUE)</f>
        <v>#N/A</v>
      </c>
      <c r="BE15" s="81" t="e">
        <f>VLOOKUP($W15,胸囲データ!$R$17:$W$18,3,TRUE)*$W15^3+VLOOKUP($W15,胸囲データ!$R$17:$W$18,4,TRUE)*$W15^2+VLOOKUP($W15,胸囲データ!$R$17:$W$18,5,TRUE)*$W15+VLOOKUP($W15,胸囲データ!$R$17:$W$18,6,TRUE)</f>
        <v>#N/A</v>
      </c>
    </row>
    <row r="16" spans="1:62" x14ac:dyDescent="0.15">
      <c r="A16" s="35"/>
      <c r="B16" s="36"/>
      <c r="C16" s="36"/>
      <c r="D16" s="49"/>
      <c r="E16" s="49"/>
      <c r="F16" s="51" t="str">
        <f t="shared" si="29"/>
        <v/>
      </c>
      <c r="G16" s="37" t="str">
        <f t="shared" si="0"/>
        <v/>
      </c>
      <c r="H16" s="38" t="str">
        <f>IF(ISERROR(W16),"",VLOOKUP(W16,成長曲線_データ!$D$4:$AC$214,3,TRUE))</f>
        <v/>
      </c>
      <c r="I16" s="39" t="str">
        <f t="shared" si="1"/>
        <v/>
      </c>
      <c r="J16" s="39" t="str">
        <f t="shared" si="2"/>
        <v/>
      </c>
      <c r="K16" s="39" t="str">
        <f t="shared" si="3"/>
        <v/>
      </c>
      <c r="L16" s="39" t="str">
        <f t="shared" si="4"/>
        <v/>
      </c>
      <c r="M16" s="39" t="str">
        <f t="shared" si="27"/>
        <v/>
      </c>
      <c r="N16" s="39" t="str">
        <f t="shared" si="5"/>
        <v/>
      </c>
      <c r="O16" s="40" t="str">
        <f t="shared" si="6"/>
        <v/>
      </c>
      <c r="P16" s="40" t="str">
        <f t="shared" si="7"/>
        <v/>
      </c>
      <c r="Q16" s="39" t="str">
        <f t="shared" si="8"/>
        <v/>
      </c>
      <c r="R16" s="39" t="str">
        <f t="shared" si="9"/>
        <v/>
      </c>
      <c r="S16" s="39" t="str">
        <f t="shared" si="10"/>
        <v/>
      </c>
      <c r="T16" s="41" t="str">
        <f t="shared" si="11"/>
        <v/>
      </c>
      <c r="V16" s="90"/>
      <c r="W16" s="79" t="e">
        <f t="shared" si="31"/>
        <v>#N/A</v>
      </c>
      <c r="X16" s="79" t="e">
        <f t="shared" si="12"/>
        <v>#N/A</v>
      </c>
      <c r="Y16" s="80" t="e">
        <f>IF(W16="","",VLOOKUP(W16,成長曲線_データ!$D$4:$AC$214,4,TRUE))</f>
        <v>#N/A</v>
      </c>
      <c r="Z16" s="80" t="e">
        <f>IF(W16="","",VLOOKUP(W16,成長曲線_データ!$D$4:$AC$214,12,TRUE))</f>
        <v>#N/A</v>
      </c>
      <c r="AA16" s="81" t="e">
        <f>IF(W16="","",VLOOKUP(W16,成長曲線_データ!$D$4:$AC$214,13,TRUE))</f>
        <v>#N/A</v>
      </c>
      <c r="AB16" s="94" t="e">
        <f t="shared" si="13"/>
        <v>#N/A</v>
      </c>
      <c r="AC16" s="82" t="e">
        <f>IF(W16&lt;0.5,NA(),VLOOKUP((W16+1/8),成長曲線_データ!$V$4:$AA$73,2,TRUE))</f>
        <v>#N/A</v>
      </c>
      <c r="AD16" s="82" t="e">
        <f>IF(W16&lt;1,NA(),VLOOKUP(W16,成長曲線_データ!$V$4:$AA$73,3,TRUE))</f>
        <v>#N/A</v>
      </c>
      <c r="AE16" s="82" t="e">
        <f>IF(W16&lt;=6.5,VLOOKUP(W16,頭囲データ!$C$10:$E$85,2,TRUE),NA())</f>
        <v>#N/A</v>
      </c>
      <c r="AF16" s="82" t="e">
        <f>IF(W16&lt;=6.5,VLOOKUP(W16,頭囲データ!$C$10:$E$85,3,TRUE),NA())</f>
        <v>#N/A</v>
      </c>
      <c r="AG16" s="89" t="str">
        <f>入力!F16&amp;"y"&amp;入力!G16&amp;"m"</f>
        <v>ym</v>
      </c>
      <c r="AH16" s="89" t="e">
        <f>IF(AND(入力!W16&gt;=1,入力!W16&lt;6,入力!B16&gt;=70,入力!B16&lt;=120),入力!B16,NA())</f>
        <v>#N/A</v>
      </c>
      <c r="AI16" s="89" t="e">
        <f>IF(AND(入力!W16&gt;=1,入力!W16&lt;6,入力!B16&gt;=70,入力!B16&lt;=120),入力!X16,NA())</f>
        <v>#N/A</v>
      </c>
      <c r="AJ16" s="89" t="e">
        <f>IF(AND(入力!W16&gt;=6,入力!B16&gt;=100,入力!B16&lt;=184),入力!B16,NA())</f>
        <v>#N/A</v>
      </c>
      <c r="AK16" s="89" t="e">
        <f>IF(AND(入力!W16&gt;=6,入力!B16&gt;=100,入力!B16&lt;=184),入力!X16,NA())</f>
        <v>#N/A</v>
      </c>
      <c r="AL16" s="82" t="e">
        <f t="shared" si="14"/>
        <v>#N/A</v>
      </c>
      <c r="AM16" s="82"/>
      <c r="AN16" s="80" t="e">
        <f t="shared" si="15"/>
        <v>#N/A</v>
      </c>
      <c r="AO16" s="80" t="e">
        <f t="shared" si="16"/>
        <v>#N/A</v>
      </c>
      <c r="AP16" s="81" t="e">
        <f t="shared" si="17"/>
        <v>#N/A</v>
      </c>
      <c r="AQ16" s="81" t="e">
        <f t="shared" si="18"/>
        <v>#VALUE!</v>
      </c>
      <c r="AR16" s="81" t="e">
        <f t="shared" si="19"/>
        <v>#N/A</v>
      </c>
      <c r="AS16" s="81" t="e">
        <f t="shared" si="20"/>
        <v>#N/A</v>
      </c>
      <c r="AT16" s="81" t="e">
        <f t="shared" si="21"/>
        <v>#N/A</v>
      </c>
      <c r="AU16" s="81" t="e">
        <f t="shared" si="22"/>
        <v>#N/A</v>
      </c>
      <c r="AV16" s="81" t="e">
        <f t="shared" si="23"/>
        <v>#N/A</v>
      </c>
      <c r="AW16" s="81" t="e">
        <f t="shared" si="24"/>
        <v>#N/A</v>
      </c>
      <c r="AX16" s="81" t="e">
        <f t="shared" si="25"/>
        <v>#N/A</v>
      </c>
      <c r="AY16" s="81" t="e">
        <f>VLOOKUP($W16,頭囲データ!$R$10:$W$11,3,TRUE)*$W16^3+VLOOKUP($W16,頭囲データ!$R$10:$W$11,4,TRUE)*$W16^2+VLOOKUP($W16,頭囲データ!$R$10:$W$11,5,TRUE)*$W16+VLOOKUP($W16,頭囲データ!$R$10:$W$11,6,TRUE)</f>
        <v>#N/A</v>
      </c>
      <c r="AZ16" s="81" t="e">
        <f>VLOOKUP($W16,頭囲データ!$R$12:$W$16,3,TRUE)*$W16^3+VLOOKUP($W16,頭囲データ!$R$12:$W$16,4,TRUE)*$W16^2+VLOOKUP($W16,頭囲データ!$R$12:$W$16,5,TRUE)*$W16+VLOOKUP($W16,頭囲データ!$R$12:$W$16,6,TRUE)</f>
        <v>#N/A</v>
      </c>
      <c r="BA16" s="81" t="e">
        <f>VLOOKUP($W16,頭囲データ!$R$17:$W$18,3,TRUE)*$W16^3+VLOOKUP($W16,頭囲データ!$R$17:$W$18,4,TRUE)*$W16^2+VLOOKUP($W16,頭囲データ!$R$17:$W$18,5,TRUE)*$W16+VLOOKUP($W16,頭囲データ!$R$17:$W$18,6,TRUE)</f>
        <v>#N/A</v>
      </c>
      <c r="BB16" s="81" t="e">
        <f t="shared" si="26"/>
        <v>#N/A</v>
      </c>
      <c r="BC16" s="81" t="e">
        <f>VLOOKUP($W16,胸囲データ!$R$10:$W$11,3,TRUE)*$W16^3+VLOOKUP($W16,胸囲データ!$R$10:$W$11,4,TRUE)*$W16^2+VLOOKUP($W16,胸囲データ!$R$10:$W$11,5,TRUE)*$W16+VLOOKUP($W16,胸囲データ!$R$10:$W$11,6,TRUE)</f>
        <v>#N/A</v>
      </c>
      <c r="BD16" s="81" t="e">
        <f>VLOOKUP($W16,胸囲データ!$R$12:$W$16,3,TRUE)*$W16^3+VLOOKUP($W16,胸囲データ!$R$12:$W$16,4,TRUE)*$W16^2+VLOOKUP($W16,胸囲データ!$R$12:$W$16,5,TRUE)*$W16+VLOOKUP($W16,胸囲データ!$R$12:$W$16,6,TRUE)</f>
        <v>#N/A</v>
      </c>
      <c r="BE16" s="81" t="e">
        <f>VLOOKUP($W16,胸囲データ!$R$17:$W$18,3,TRUE)*$W16^3+VLOOKUP($W16,胸囲データ!$R$17:$W$18,4,TRUE)*$W16^2+VLOOKUP($W16,胸囲データ!$R$17:$W$18,5,TRUE)*$W16+VLOOKUP($W16,胸囲データ!$R$17:$W$18,6,TRUE)</f>
        <v>#N/A</v>
      </c>
    </row>
    <row r="17" spans="1:57" x14ac:dyDescent="0.15">
      <c r="A17" s="35"/>
      <c r="B17" s="36"/>
      <c r="C17" s="36"/>
      <c r="D17" s="49"/>
      <c r="E17" s="49"/>
      <c r="F17" s="51" t="str">
        <f t="shared" si="29"/>
        <v/>
      </c>
      <c r="G17" s="37" t="str">
        <f t="shared" si="0"/>
        <v/>
      </c>
      <c r="H17" s="38" t="str">
        <f>IF(ISERROR(W17),"",VLOOKUP(W17,成長曲線_データ!$D$4:$AC$214,3,TRUE))</f>
        <v/>
      </c>
      <c r="I17" s="39" t="str">
        <f t="shared" si="1"/>
        <v/>
      </c>
      <c r="J17" s="39" t="str">
        <f t="shared" si="2"/>
        <v/>
      </c>
      <c r="K17" s="39" t="str">
        <f t="shared" si="3"/>
        <v/>
      </c>
      <c r="L17" s="39" t="str">
        <f t="shared" si="4"/>
        <v/>
      </c>
      <c r="M17" s="39" t="str">
        <f t="shared" si="27"/>
        <v/>
      </c>
      <c r="N17" s="39" t="str">
        <f t="shared" si="5"/>
        <v/>
      </c>
      <c r="O17" s="40" t="str">
        <f t="shared" si="6"/>
        <v/>
      </c>
      <c r="P17" s="40" t="str">
        <f t="shared" si="7"/>
        <v/>
      </c>
      <c r="Q17" s="39" t="str">
        <f t="shared" si="8"/>
        <v/>
      </c>
      <c r="R17" s="39" t="str">
        <f t="shared" si="9"/>
        <v/>
      </c>
      <c r="S17" s="39" t="str">
        <f t="shared" si="10"/>
        <v/>
      </c>
      <c r="T17" s="41" t="str">
        <f t="shared" si="11"/>
        <v/>
      </c>
      <c r="V17" s="90"/>
      <c r="W17" s="79" t="e">
        <f t="shared" si="31"/>
        <v>#N/A</v>
      </c>
      <c r="X17" s="79" t="e">
        <f t="shared" si="12"/>
        <v>#N/A</v>
      </c>
      <c r="Y17" s="80" t="e">
        <f>IF(W17="","",VLOOKUP(W17,成長曲線_データ!$D$4:$AC$214,4,TRUE))</f>
        <v>#N/A</v>
      </c>
      <c r="Z17" s="80" t="e">
        <f>IF(W17="","",VLOOKUP(W17,成長曲線_データ!$D$4:$AC$214,12,TRUE))</f>
        <v>#N/A</v>
      </c>
      <c r="AA17" s="81" t="e">
        <f>IF(W17="","",VLOOKUP(W17,成長曲線_データ!$D$4:$AC$214,13,TRUE))</f>
        <v>#N/A</v>
      </c>
      <c r="AB17" s="94" t="e">
        <f t="shared" si="13"/>
        <v>#N/A</v>
      </c>
      <c r="AC17" s="82" t="e">
        <f>IF(W17&lt;0.5,NA(),VLOOKUP((W17+1/8),成長曲線_データ!$V$4:$AA$73,2,TRUE))</f>
        <v>#N/A</v>
      </c>
      <c r="AD17" s="82" t="e">
        <f>IF(W17&lt;1,NA(),VLOOKUP(W17,成長曲線_データ!$V$4:$AA$73,3,TRUE))</f>
        <v>#N/A</v>
      </c>
      <c r="AE17" s="82" t="e">
        <f>IF(W17&lt;=6.5,VLOOKUP(W17,頭囲データ!$C$10:$E$85,2,TRUE),NA())</f>
        <v>#N/A</v>
      </c>
      <c r="AF17" s="82" t="e">
        <f>IF(W17&lt;=6.5,VLOOKUP(W17,頭囲データ!$C$10:$E$85,3,TRUE),NA())</f>
        <v>#N/A</v>
      </c>
      <c r="AG17" s="89" t="str">
        <f>入力!F17&amp;"y"&amp;入力!G17&amp;"m"</f>
        <v>ym</v>
      </c>
      <c r="AH17" s="89" t="e">
        <f>IF(AND(入力!W17&gt;=1,入力!W17&lt;6,入力!B17&gt;=70,入力!B17&lt;=120),入力!B17,NA())</f>
        <v>#N/A</v>
      </c>
      <c r="AI17" s="89" t="e">
        <f>IF(AND(入力!W17&gt;=1,入力!W17&lt;6,入力!B17&gt;=70,入力!B17&lt;=120),入力!X17,NA())</f>
        <v>#N/A</v>
      </c>
      <c r="AJ17" s="89" t="e">
        <f>IF(AND(入力!W17&gt;=6,入力!B17&gt;=100,入力!B17&lt;=184),入力!B17,NA())</f>
        <v>#N/A</v>
      </c>
      <c r="AK17" s="89" t="e">
        <f>IF(AND(入力!W17&gt;=6,入力!B17&gt;=100,入力!B17&lt;=184),入力!X17,NA())</f>
        <v>#N/A</v>
      </c>
      <c r="AL17" s="82" t="e">
        <f t="shared" si="14"/>
        <v>#N/A</v>
      </c>
      <c r="AM17" s="82"/>
      <c r="AN17" s="80" t="e">
        <f t="shared" si="15"/>
        <v>#N/A</v>
      </c>
      <c r="AO17" s="80" t="e">
        <f t="shared" si="16"/>
        <v>#N/A</v>
      </c>
      <c r="AP17" s="81" t="e">
        <f t="shared" si="17"/>
        <v>#N/A</v>
      </c>
      <c r="AQ17" s="81" t="e">
        <f t="shared" si="18"/>
        <v>#VALUE!</v>
      </c>
      <c r="AR17" s="81" t="e">
        <f t="shared" si="19"/>
        <v>#N/A</v>
      </c>
      <c r="AS17" s="81" t="e">
        <f t="shared" si="20"/>
        <v>#N/A</v>
      </c>
      <c r="AT17" s="81" t="e">
        <f t="shared" si="21"/>
        <v>#N/A</v>
      </c>
      <c r="AU17" s="81" t="e">
        <f t="shared" si="22"/>
        <v>#N/A</v>
      </c>
      <c r="AV17" s="81" t="e">
        <f t="shared" si="23"/>
        <v>#N/A</v>
      </c>
      <c r="AW17" s="81" t="e">
        <f t="shared" si="24"/>
        <v>#N/A</v>
      </c>
      <c r="AX17" s="81" t="e">
        <f t="shared" si="25"/>
        <v>#N/A</v>
      </c>
      <c r="AY17" s="81" t="e">
        <f>VLOOKUP($W17,頭囲データ!$R$10:$W$11,3,TRUE)*$W17^3+VLOOKUP($W17,頭囲データ!$R$10:$W$11,4,TRUE)*$W17^2+VLOOKUP($W17,頭囲データ!$R$10:$W$11,5,TRUE)*$W17+VLOOKUP($W17,頭囲データ!$R$10:$W$11,6,TRUE)</f>
        <v>#N/A</v>
      </c>
      <c r="AZ17" s="81" t="e">
        <f>VLOOKUP($W17,頭囲データ!$R$12:$W$16,3,TRUE)*$W17^3+VLOOKUP($W17,頭囲データ!$R$12:$W$16,4,TRUE)*$W17^2+VLOOKUP($W17,頭囲データ!$R$12:$W$16,5,TRUE)*$W17+VLOOKUP($W17,頭囲データ!$R$12:$W$16,6,TRUE)</f>
        <v>#N/A</v>
      </c>
      <c r="BA17" s="81" t="e">
        <f>VLOOKUP($W17,頭囲データ!$R$17:$W$18,3,TRUE)*$W17^3+VLOOKUP($W17,頭囲データ!$R$17:$W$18,4,TRUE)*$W17^2+VLOOKUP($W17,頭囲データ!$R$17:$W$18,5,TRUE)*$W17+VLOOKUP($W17,頭囲データ!$R$17:$W$18,6,TRUE)</f>
        <v>#N/A</v>
      </c>
      <c r="BB17" s="81" t="e">
        <f t="shared" si="26"/>
        <v>#N/A</v>
      </c>
      <c r="BC17" s="81" t="e">
        <f>VLOOKUP($W17,胸囲データ!$R$10:$W$11,3,TRUE)*$W17^3+VLOOKUP($W17,胸囲データ!$R$10:$W$11,4,TRUE)*$W17^2+VLOOKUP($W17,胸囲データ!$R$10:$W$11,5,TRUE)*$W17+VLOOKUP($W17,胸囲データ!$R$10:$W$11,6,TRUE)</f>
        <v>#N/A</v>
      </c>
      <c r="BD17" s="81" t="e">
        <f>VLOOKUP($W17,胸囲データ!$R$12:$W$16,3,TRUE)*$W17^3+VLOOKUP($W17,胸囲データ!$R$12:$W$16,4,TRUE)*$W17^2+VLOOKUP($W17,胸囲データ!$R$12:$W$16,5,TRUE)*$W17+VLOOKUP($W17,胸囲データ!$R$12:$W$16,6,TRUE)</f>
        <v>#N/A</v>
      </c>
      <c r="BE17" s="81" t="e">
        <f>VLOOKUP($W17,胸囲データ!$R$17:$W$18,3,TRUE)*$W17^3+VLOOKUP($W17,胸囲データ!$R$17:$W$18,4,TRUE)*$W17^2+VLOOKUP($W17,胸囲データ!$R$17:$W$18,5,TRUE)*$W17+VLOOKUP($W17,胸囲データ!$R$17:$W$18,6,TRUE)</f>
        <v>#N/A</v>
      </c>
    </row>
    <row r="18" spans="1:57" x14ac:dyDescent="0.15">
      <c r="A18" s="35"/>
      <c r="B18" s="36"/>
      <c r="C18" s="36"/>
      <c r="D18" s="49"/>
      <c r="E18" s="49"/>
      <c r="F18" s="51" t="str">
        <f t="shared" si="29"/>
        <v/>
      </c>
      <c r="G18" s="37" t="str">
        <f t="shared" si="0"/>
        <v/>
      </c>
      <c r="H18" s="38" t="str">
        <f>IF(ISERROR(W18),"",VLOOKUP(W18,成長曲線_データ!$D$4:$AC$214,3,TRUE))</f>
        <v/>
      </c>
      <c r="I18" s="39" t="str">
        <f t="shared" si="1"/>
        <v/>
      </c>
      <c r="J18" s="39" t="str">
        <f t="shared" si="2"/>
        <v/>
      </c>
      <c r="K18" s="39" t="str">
        <f t="shared" si="3"/>
        <v/>
      </c>
      <c r="L18" s="39" t="str">
        <f t="shared" si="4"/>
        <v/>
      </c>
      <c r="M18" s="39" t="str">
        <f t="shared" si="27"/>
        <v/>
      </c>
      <c r="N18" s="39" t="str">
        <f t="shared" si="5"/>
        <v/>
      </c>
      <c r="O18" s="40" t="str">
        <f t="shared" si="6"/>
        <v/>
      </c>
      <c r="P18" s="40" t="str">
        <f t="shared" si="7"/>
        <v/>
      </c>
      <c r="Q18" s="39" t="str">
        <f t="shared" si="8"/>
        <v/>
      </c>
      <c r="R18" s="39" t="str">
        <f t="shared" si="9"/>
        <v/>
      </c>
      <c r="S18" s="39" t="str">
        <f t="shared" si="10"/>
        <v/>
      </c>
      <c r="T18" s="41" t="str">
        <f t="shared" si="11"/>
        <v/>
      </c>
      <c r="V18" s="90"/>
      <c r="W18" s="79" t="e">
        <f t="shared" si="31"/>
        <v>#N/A</v>
      </c>
      <c r="X18" s="79" t="e">
        <f t="shared" si="12"/>
        <v>#N/A</v>
      </c>
      <c r="Y18" s="80" t="e">
        <f>IF(W18="","",VLOOKUP(W18,成長曲線_データ!$D$4:$AC$214,4,TRUE))</f>
        <v>#N/A</v>
      </c>
      <c r="Z18" s="80" t="e">
        <f>IF(W18="","",VLOOKUP(W18,成長曲線_データ!$D$4:$AC$214,12,TRUE))</f>
        <v>#N/A</v>
      </c>
      <c r="AA18" s="81" t="e">
        <f>IF(W18="","",VLOOKUP(W18,成長曲線_データ!$D$4:$AC$214,13,TRUE))</f>
        <v>#N/A</v>
      </c>
      <c r="AB18" s="94" t="e">
        <f t="shared" si="13"/>
        <v>#N/A</v>
      </c>
      <c r="AC18" s="82" t="e">
        <f>IF(W18&lt;0.5,NA(),VLOOKUP((W18+1/8),成長曲線_データ!$V$4:$AA$73,2,TRUE))</f>
        <v>#N/A</v>
      </c>
      <c r="AD18" s="82" t="e">
        <f>IF(W18&lt;1,NA(),VLOOKUP(W18,成長曲線_データ!$V$4:$AA$73,3,TRUE))</f>
        <v>#N/A</v>
      </c>
      <c r="AE18" s="82" t="e">
        <f>IF(W18&lt;=6.5,VLOOKUP(W18,頭囲データ!$C$10:$E$85,2,TRUE),NA())</f>
        <v>#N/A</v>
      </c>
      <c r="AF18" s="82" t="e">
        <f>IF(W18&lt;=6.5,VLOOKUP(W18,頭囲データ!$C$10:$E$85,3,TRUE),NA())</f>
        <v>#N/A</v>
      </c>
      <c r="AG18" s="89" t="str">
        <f>入力!F18&amp;"y"&amp;入力!G18&amp;"m"</f>
        <v>ym</v>
      </c>
      <c r="AH18" s="89" t="e">
        <f>IF(AND(入力!W18&gt;=1,入力!W18&lt;6,入力!B18&gt;=70,入力!B18&lt;=120),入力!B18,NA())</f>
        <v>#N/A</v>
      </c>
      <c r="AI18" s="89" t="e">
        <f>IF(AND(入力!W18&gt;=1,入力!W18&lt;6,入力!B18&gt;=70,入力!B18&lt;=120),入力!X18,NA())</f>
        <v>#N/A</v>
      </c>
      <c r="AJ18" s="89" t="e">
        <f>IF(AND(入力!W18&gt;=6,入力!B18&gt;=100,入力!B18&lt;=184),入力!B18,NA())</f>
        <v>#N/A</v>
      </c>
      <c r="AK18" s="89" t="e">
        <f>IF(AND(入力!W18&gt;=6,入力!B18&gt;=100,入力!B18&lt;=184),入力!X18,NA())</f>
        <v>#N/A</v>
      </c>
      <c r="AL18" s="82" t="e">
        <f t="shared" si="14"/>
        <v>#N/A</v>
      </c>
      <c r="AM18" s="82"/>
      <c r="AN18" s="80" t="e">
        <f t="shared" si="15"/>
        <v>#N/A</v>
      </c>
      <c r="AO18" s="80" t="e">
        <f t="shared" si="16"/>
        <v>#N/A</v>
      </c>
      <c r="AP18" s="81" t="e">
        <f t="shared" si="17"/>
        <v>#N/A</v>
      </c>
      <c r="AQ18" s="81" t="e">
        <f t="shared" si="18"/>
        <v>#VALUE!</v>
      </c>
      <c r="AR18" s="81" t="e">
        <f t="shared" si="19"/>
        <v>#N/A</v>
      </c>
      <c r="AS18" s="81" t="e">
        <f t="shared" si="20"/>
        <v>#N/A</v>
      </c>
      <c r="AT18" s="81" t="e">
        <f t="shared" si="21"/>
        <v>#N/A</v>
      </c>
      <c r="AU18" s="81" t="e">
        <f t="shared" si="22"/>
        <v>#N/A</v>
      </c>
      <c r="AV18" s="81" t="e">
        <f t="shared" si="23"/>
        <v>#N/A</v>
      </c>
      <c r="AW18" s="81" t="e">
        <f t="shared" si="24"/>
        <v>#N/A</v>
      </c>
      <c r="AX18" s="81" t="e">
        <f t="shared" si="25"/>
        <v>#N/A</v>
      </c>
      <c r="AY18" s="81" t="e">
        <f>VLOOKUP($W18,頭囲データ!$R$10:$W$11,3,TRUE)*$W18^3+VLOOKUP($W18,頭囲データ!$R$10:$W$11,4,TRUE)*$W18^2+VLOOKUP($W18,頭囲データ!$R$10:$W$11,5,TRUE)*$W18+VLOOKUP($W18,頭囲データ!$R$10:$W$11,6,TRUE)</f>
        <v>#N/A</v>
      </c>
      <c r="AZ18" s="81" t="e">
        <f>VLOOKUP($W18,頭囲データ!$R$12:$W$16,3,TRUE)*$W18^3+VLOOKUP($W18,頭囲データ!$R$12:$W$16,4,TRUE)*$W18^2+VLOOKUP($W18,頭囲データ!$R$12:$W$16,5,TRUE)*$W18+VLOOKUP($W18,頭囲データ!$R$12:$W$16,6,TRUE)</f>
        <v>#N/A</v>
      </c>
      <c r="BA18" s="81" t="e">
        <f>VLOOKUP($W18,頭囲データ!$R$17:$W$18,3,TRUE)*$W18^3+VLOOKUP($W18,頭囲データ!$R$17:$W$18,4,TRUE)*$W18^2+VLOOKUP($W18,頭囲データ!$R$17:$W$18,5,TRUE)*$W18+VLOOKUP($W18,頭囲データ!$R$17:$W$18,6,TRUE)</f>
        <v>#N/A</v>
      </c>
      <c r="BB18" s="81" t="e">
        <f t="shared" si="26"/>
        <v>#N/A</v>
      </c>
      <c r="BC18" s="81" t="e">
        <f>VLOOKUP($W18,胸囲データ!$R$10:$W$11,3,TRUE)*$W18^3+VLOOKUP($W18,胸囲データ!$R$10:$W$11,4,TRUE)*$W18^2+VLOOKUP($W18,胸囲データ!$R$10:$W$11,5,TRUE)*$W18+VLOOKUP($W18,胸囲データ!$R$10:$W$11,6,TRUE)</f>
        <v>#N/A</v>
      </c>
      <c r="BD18" s="81" t="e">
        <f>VLOOKUP($W18,胸囲データ!$R$12:$W$16,3,TRUE)*$W18^3+VLOOKUP($W18,胸囲データ!$R$12:$W$16,4,TRUE)*$W18^2+VLOOKUP($W18,胸囲データ!$R$12:$W$16,5,TRUE)*$W18+VLOOKUP($W18,胸囲データ!$R$12:$W$16,6,TRUE)</f>
        <v>#N/A</v>
      </c>
      <c r="BE18" s="81" t="e">
        <f>VLOOKUP($W18,胸囲データ!$R$17:$W$18,3,TRUE)*$W18^3+VLOOKUP($W18,胸囲データ!$R$17:$W$18,4,TRUE)*$W18^2+VLOOKUP($W18,胸囲データ!$R$17:$W$18,5,TRUE)*$W18+VLOOKUP($W18,胸囲データ!$R$17:$W$18,6,TRUE)</f>
        <v>#N/A</v>
      </c>
    </row>
    <row r="19" spans="1:57" x14ac:dyDescent="0.15">
      <c r="A19" s="35"/>
      <c r="B19" s="36"/>
      <c r="C19" s="36"/>
      <c r="D19" s="49"/>
      <c r="E19" s="49"/>
      <c r="F19" s="51" t="str">
        <f t="shared" si="29"/>
        <v/>
      </c>
      <c r="G19" s="37" t="str">
        <f t="shared" si="0"/>
        <v/>
      </c>
      <c r="H19" s="38" t="str">
        <f>IF(ISERROR(W19),"",VLOOKUP(W19,成長曲線_データ!$D$4:$AC$214,3,TRUE))</f>
        <v/>
      </c>
      <c r="I19" s="39" t="str">
        <f t="shared" si="1"/>
        <v/>
      </c>
      <c r="J19" s="39" t="str">
        <f t="shared" si="2"/>
        <v/>
      </c>
      <c r="K19" s="39" t="str">
        <f t="shared" si="3"/>
        <v/>
      </c>
      <c r="L19" s="39" t="str">
        <f t="shared" si="4"/>
        <v/>
      </c>
      <c r="M19" s="39" t="str">
        <f t="shared" si="27"/>
        <v/>
      </c>
      <c r="N19" s="39" t="str">
        <f t="shared" si="5"/>
        <v/>
      </c>
      <c r="O19" s="40" t="str">
        <f t="shared" si="6"/>
        <v/>
      </c>
      <c r="P19" s="40" t="str">
        <f t="shared" si="7"/>
        <v/>
      </c>
      <c r="Q19" s="39" t="str">
        <f t="shared" si="8"/>
        <v/>
      </c>
      <c r="R19" s="39" t="str">
        <f t="shared" si="9"/>
        <v/>
      </c>
      <c r="S19" s="39" t="str">
        <f t="shared" si="10"/>
        <v/>
      </c>
      <c r="T19" s="41" t="str">
        <f t="shared" si="11"/>
        <v/>
      </c>
      <c r="V19" s="90"/>
      <c r="W19" s="79" t="e">
        <f t="shared" si="31"/>
        <v>#N/A</v>
      </c>
      <c r="X19" s="79" t="e">
        <f t="shared" si="12"/>
        <v>#N/A</v>
      </c>
      <c r="Y19" s="80" t="e">
        <f>IF(W19="","",VLOOKUP(W19,成長曲線_データ!$D$4:$AC$214,4,TRUE))</f>
        <v>#N/A</v>
      </c>
      <c r="Z19" s="80" t="e">
        <f>IF(W19="","",VLOOKUP(W19,成長曲線_データ!$D$4:$AC$214,12,TRUE))</f>
        <v>#N/A</v>
      </c>
      <c r="AA19" s="81" t="e">
        <f>IF(W19="","",VLOOKUP(W19,成長曲線_データ!$D$4:$AC$214,13,TRUE))</f>
        <v>#N/A</v>
      </c>
      <c r="AB19" s="94" t="e">
        <f t="shared" si="13"/>
        <v>#N/A</v>
      </c>
      <c r="AC19" s="82" t="e">
        <f>IF(W19&lt;0.5,NA(),VLOOKUP((W19+1/8),成長曲線_データ!$V$4:$AA$73,2,TRUE))</f>
        <v>#N/A</v>
      </c>
      <c r="AD19" s="82" t="e">
        <f>IF(W19&lt;1,NA(),VLOOKUP(W19,成長曲線_データ!$V$4:$AA$73,3,TRUE))</f>
        <v>#N/A</v>
      </c>
      <c r="AE19" s="82" t="e">
        <f>IF(W19&lt;=6.5,VLOOKUP(W19,頭囲データ!$C$10:$E$85,2,TRUE),NA())</f>
        <v>#N/A</v>
      </c>
      <c r="AF19" s="82" t="e">
        <f>IF(W19&lt;=6.5,VLOOKUP(W19,頭囲データ!$C$10:$E$85,3,TRUE),NA())</f>
        <v>#N/A</v>
      </c>
      <c r="AG19" s="89" t="str">
        <f>入力!F19&amp;"y"&amp;入力!G19&amp;"m"</f>
        <v>ym</v>
      </c>
      <c r="AH19" s="89" t="e">
        <f>IF(AND(入力!W19&gt;=1,入力!W19&lt;6,入力!B19&gt;=70,入力!B19&lt;=120),入力!B19,NA())</f>
        <v>#N/A</v>
      </c>
      <c r="AI19" s="89" t="e">
        <f>IF(AND(入力!W19&gt;=1,入力!W19&lt;6,入力!B19&gt;=70,入力!B19&lt;=120),入力!X19,NA())</f>
        <v>#N/A</v>
      </c>
      <c r="AJ19" s="89" t="e">
        <f>IF(AND(入力!W19&gt;=6,入力!B19&gt;=100,入力!B19&lt;=184),入力!B19,NA())</f>
        <v>#N/A</v>
      </c>
      <c r="AK19" s="89" t="e">
        <f>IF(AND(入力!W19&gt;=6,入力!B19&gt;=100,入力!B19&lt;=184),入力!X19,NA())</f>
        <v>#N/A</v>
      </c>
      <c r="AL19" s="82" t="e">
        <f t="shared" si="14"/>
        <v>#N/A</v>
      </c>
      <c r="AM19" s="82"/>
      <c r="AN19" s="80" t="e">
        <f t="shared" si="15"/>
        <v>#N/A</v>
      </c>
      <c r="AO19" s="80" t="e">
        <f t="shared" si="16"/>
        <v>#N/A</v>
      </c>
      <c r="AP19" s="81" t="e">
        <f t="shared" si="17"/>
        <v>#N/A</v>
      </c>
      <c r="AQ19" s="81" t="e">
        <f t="shared" si="18"/>
        <v>#VALUE!</v>
      </c>
      <c r="AR19" s="81" t="e">
        <f t="shared" si="19"/>
        <v>#N/A</v>
      </c>
      <c r="AS19" s="81" t="e">
        <f t="shared" si="20"/>
        <v>#N/A</v>
      </c>
      <c r="AT19" s="81" t="e">
        <f t="shared" si="21"/>
        <v>#N/A</v>
      </c>
      <c r="AU19" s="81" t="e">
        <f t="shared" si="22"/>
        <v>#N/A</v>
      </c>
      <c r="AV19" s="81" t="e">
        <f t="shared" si="23"/>
        <v>#N/A</v>
      </c>
      <c r="AW19" s="81" t="e">
        <f t="shared" si="24"/>
        <v>#N/A</v>
      </c>
      <c r="AX19" s="81" t="e">
        <f t="shared" si="25"/>
        <v>#N/A</v>
      </c>
      <c r="AY19" s="81" t="e">
        <f>VLOOKUP($W19,頭囲データ!$R$10:$W$11,3,TRUE)*$W19^3+VLOOKUP($W19,頭囲データ!$R$10:$W$11,4,TRUE)*$W19^2+VLOOKUP($W19,頭囲データ!$R$10:$W$11,5,TRUE)*$W19+VLOOKUP($W19,頭囲データ!$R$10:$W$11,6,TRUE)</f>
        <v>#N/A</v>
      </c>
      <c r="AZ19" s="81" t="e">
        <f>VLOOKUP($W19,頭囲データ!$R$12:$W$16,3,TRUE)*$W19^3+VLOOKUP($W19,頭囲データ!$R$12:$W$16,4,TRUE)*$W19^2+VLOOKUP($W19,頭囲データ!$R$12:$W$16,5,TRUE)*$W19+VLOOKUP($W19,頭囲データ!$R$12:$W$16,6,TRUE)</f>
        <v>#N/A</v>
      </c>
      <c r="BA19" s="81" t="e">
        <f>VLOOKUP($W19,頭囲データ!$R$17:$W$18,3,TRUE)*$W19^3+VLOOKUP($W19,頭囲データ!$R$17:$W$18,4,TRUE)*$W19^2+VLOOKUP($W19,頭囲データ!$R$17:$W$18,5,TRUE)*$W19+VLOOKUP($W19,頭囲データ!$R$17:$W$18,6,TRUE)</f>
        <v>#N/A</v>
      </c>
      <c r="BB19" s="81" t="e">
        <f t="shared" si="26"/>
        <v>#N/A</v>
      </c>
      <c r="BC19" s="81" t="e">
        <f>VLOOKUP($W19,胸囲データ!$R$10:$W$11,3,TRUE)*$W19^3+VLOOKUP($W19,胸囲データ!$R$10:$W$11,4,TRUE)*$W19^2+VLOOKUP($W19,胸囲データ!$R$10:$W$11,5,TRUE)*$W19+VLOOKUP($W19,胸囲データ!$R$10:$W$11,6,TRUE)</f>
        <v>#N/A</v>
      </c>
      <c r="BD19" s="81" t="e">
        <f>VLOOKUP($W19,胸囲データ!$R$12:$W$16,3,TRUE)*$W19^3+VLOOKUP($W19,胸囲データ!$R$12:$W$16,4,TRUE)*$W19^2+VLOOKUP($W19,胸囲データ!$R$12:$W$16,5,TRUE)*$W19+VLOOKUP($W19,胸囲データ!$R$12:$W$16,6,TRUE)</f>
        <v>#N/A</v>
      </c>
      <c r="BE19" s="81" t="e">
        <f>VLOOKUP($W19,胸囲データ!$R$17:$W$18,3,TRUE)*$W19^3+VLOOKUP($W19,胸囲データ!$R$17:$W$18,4,TRUE)*$W19^2+VLOOKUP($W19,胸囲データ!$R$17:$W$18,5,TRUE)*$W19+VLOOKUP($W19,胸囲データ!$R$17:$W$18,6,TRUE)</f>
        <v>#N/A</v>
      </c>
    </row>
    <row r="20" spans="1:57" x14ac:dyDescent="0.15">
      <c r="A20" s="35"/>
      <c r="B20" s="36"/>
      <c r="C20" s="36"/>
      <c r="D20" s="49"/>
      <c r="E20" s="49"/>
      <c r="F20" s="51" t="str">
        <f t="shared" si="29"/>
        <v/>
      </c>
      <c r="G20" s="37" t="str">
        <f t="shared" si="0"/>
        <v/>
      </c>
      <c r="H20" s="38" t="str">
        <f>IF(ISERROR(W20),"",VLOOKUP(W20,成長曲線_データ!$D$4:$AC$214,3,TRUE))</f>
        <v/>
      </c>
      <c r="I20" s="39" t="str">
        <f t="shared" si="1"/>
        <v/>
      </c>
      <c r="J20" s="39" t="str">
        <f t="shared" si="2"/>
        <v/>
      </c>
      <c r="K20" s="39" t="str">
        <f t="shared" si="3"/>
        <v/>
      </c>
      <c r="L20" s="39" t="str">
        <f t="shared" si="4"/>
        <v/>
      </c>
      <c r="M20" s="39" t="str">
        <f t="shared" si="27"/>
        <v/>
      </c>
      <c r="N20" s="39" t="str">
        <f t="shared" si="5"/>
        <v/>
      </c>
      <c r="O20" s="40" t="str">
        <f t="shared" si="6"/>
        <v/>
      </c>
      <c r="P20" s="40" t="str">
        <f t="shared" si="7"/>
        <v/>
      </c>
      <c r="Q20" s="39" t="str">
        <f t="shared" si="8"/>
        <v/>
      </c>
      <c r="R20" s="39" t="str">
        <f t="shared" si="9"/>
        <v/>
      </c>
      <c r="S20" s="39" t="str">
        <f t="shared" si="10"/>
        <v/>
      </c>
      <c r="T20" s="41" t="str">
        <f t="shared" si="11"/>
        <v/>
      </c>
      <c r="V20" s="90"/>
      <c r="W20" s="79" t="e">
        <f t="shared" si="31"/>
        <v>#N/A</v>
      </c>
      <c r="X20" s="79" t="e">
        <f t="shared" si="12"/>
        <v>#N/A</v>
      </c>
      <c r="Y20" s="80" t="e">
        <f>IF(W20="","",VLOOKUP(W20,成長曲線_データ!$D$4:$AC$214,4,TRUE))</f>
        <v>#N/A</v>
      </c>
      <c r="Z20" s="80" t="e">
        <f>IF(W20="","",VLOOKUP(W20,成長曲線_データ!$D$4:$AC$214,12,TRUE))</f>
        <v>#N/A</v>
      </c>
      <c r="AA20" s="81" t="e">
        <f>IF(W20="","",VLOOKUP(W20,成長曲線_データ!$D$4:$AC$214,13,TRUE))</f>
        <v>#N/A</v>
      </c>
      <c r="AB20" s="94" t="e">
        <f t="shared" si="13"/>
        <v>#N/A</v>
      </c>
      <c r="AC20" s="82" t="e">
        <f>IF(W20&lt;0.5,NA(),VLOOKUP((W20+1/8),成長曲線_データ!$V$4:$AA$73,2,TRUE))</f>
        <v>#N/A</v>
      </c>
      <c r="AD20" s="82" t="e">
        <f>IF(W20&lt;1,NA(),VLOOKUP(W20,成長曲線_データ!$V$4:$AA$73,3,TRUE))</f>
        <v>#N/A</v>
      </c>
      <c r="AE20" s="82" t="e">
        <f>IF(W20&lt;=6.5,VLOOKUP(W20,頭囲データ!$C$10:$E$85,2,TRUE),NA())</f>
        <v>#N/A</v>
      </c>
      <c r="AF20" s="82" t="e">
        <f>IF(W20&lt;=6.5,VLOOKUP(W20,頭囲データ!$C$10:$E$85,3,TRUE),NA())</f>
        <v>#N/A</v>
      </c>
      <c r="AG20" s="89" t="str">
        <f>入力!F20&amp;"y"&amp;入力!G20&amp;"m"</f>
        <v>ym</v>
      </c>
      <c r="AH20" s="89" t="e">
        <f>IF(AND(入力!W20&gt;=1,入力!W20&lt;6,入力!B20&gt;=70,入力!B20&lt;=120),入力!B20,NA())</f>
        <v>#N/A</v>
      </c>
      <c r="AI20" s="89" t="e">
        <f>IF(AND(入力!W20&gt;=1,入力!W20&lt;6,入力!B20&gt;=70,入力!B20&lt;=120),入力!X20,NA())</f>
        <v>#N/A</v>
      </c>
      <c r="AJ20" s="89" t="e">
        <f>IF(AND(入力!W20&gt;=6,入力!B20&gt;=100,入力!B20&lt;=184),入力!B20,NA())</f>
        <v>#N/A</v>
      </c>
      <c r="AK20" s="89" t="e">
        <f>IF(AND(入力!W20&gt;=6,入力!B20&gt;=100,入力!B20&lt;=184),入力!X20,NA())</f>
        <v>#N/A</v>
      </c>
      <c r="AL20" s="82" t="e">
        <f t="shared" si="14"/>
        <v>#N/A</v>
      </c>
      <c r="AM20" s="82"/>
      <c r="AN20" s="80" t="e">
        <f t="shared" si="15"/>
        <v>#N/A</v>
      </c>
      <c r="AO20" s="80" t="e">
        <f t="shared" si="16"/>
        <v>#N/A</v>
      </c>
      <c r="AP20" s="81" t="e">
        <f t="shared" si="17"/>
        <v>#N/A</v>
      </c>
      <c r="AQ20" s="81" t="e">
        <f t="shared" si="18"/>
        <v>#VALUE!</v>
      </c>
      <c r="AR20" s="81" t="e">
        <f t="shared" si="19"/>
        <v>#N/A</v>
      </c>
      <c r="AS20" s="81" t="e">
        <f t="shared" si="20"/>
        <v>#N/A</v>
      </c>
      <c r="AT20" s="81" t="e">
        <f t="shared" si="21"/>
        <v>#N/A</v>
      </c>
      <c r="AU20" s="81" t="e">
        <f t="shared" si="22"/>
        <v>#N/A</v>
      </c>
      <c r="AV20" s="81" t="e">
        <f t="shared" si="23"/>
        <v>#N/A</v>
      </c>
      <c r="AW20" s="81" t="e">
        <f t="shared" si="24"/>
        <v>#N/A</v>
      </c>
      <c r="AX20" s="81" t="e">
        <f t="shared" si="25"/>
        <v>#N/A</v>
      </c>
      <c r="AY20" s="81" t="e">
        <f>VLOOKUP($W20,頭囲データ!$R$10:$W$11,3,TRUE)*$W20^3+VLOOKUP($W20,頭囲データ!$R$10:$W$11,4,TRUE)*$W20^2+VLOOKUP($W20,頭囲データ!$R$10:$W$11,5,TRUE)*$W20+VLOOKUP($W20,頭囲データ!$R$10:$W$11,6,TRUE)</f>
        <v>#N/A</v>
      </c>
      <c r="AZ20" s="81" t="e">
        <f>VLOOKUP($W20,頭囲データ!$R$12:$W$16,3,TRUE)*$W20^3+VLOOKUP($W20,頭囲データ!$R$12:$W$16,4,TRUE)*$W20^2+VLOOKUP($W20,頭囲データ!$R$12:$W$16,5,TRUE)*$W20+VLOOKUP($W20,頭囲データ!$R$12:$W$16,6,TRUE)</f>
        <v>#N/A</v>
      </c>
      <c r="BA20" s="81" t="e">
        <f>VLOOKUP($W20,頭囲データ!$R$17:$W$18,3,TRUE)*$W20^3+VLOOKUP($W20,頭囲データ!$R$17:$W$18,4,TRUE)*$W20^2+VLOOKUP($W20,頭囲データ!$R$17:$W$18,5,TRUE)*$W20+VLOOKUP($W20,頭囲データ!$R$17:$W$18,6,TRUE)</f>
        <v>#N/A</v>
      </c>
      <c r="BB20" s="81" t="e">
        <f t="shared" si="26"/>
        <v>#N/A</v>
      </c>
      <c r="BC20" s="81" t="e">
        <f>VLOOKUP($W20,胸囲データ!$R$10:$W$11,3,TRUE)*$W20^3+VLOOKUP($W20,胸囲データ!$R$10:$W$11,4,TRUE)*$W20^2+VLOOKUP($W20,胸囲データ!$R$10:$W$11,5,TRUE)*$W20+VLOOKUP($W20,胸囲データ!$R$10:$W$11,6,TRUE)</f>
        <v>#N/A</v>
      </c>
      <c r="BD20" s="81" t="e">
        <f>VLOOKUP($W20,胸囲データ!$R$12:$W$16,3,TRUE)*$W20^3+VLOOKUP($W20,胸囲データ!$R$12:$W$16,4,TRUE)*$W20^2+VLOOKUP($W20,胸囲データ!$R$12:$W$16,5,TRUE)*$W20+VLOOKUP($W20,胸囲データ!$R$12:$W$16,6,TRUE)</f>
        <v>#N/A</v>
      </c>
      <c r="BE20" s="81" t="e">
        <f>VLOOKUP($W20,胸囲データ!$R$17:$W$18,3,TRUE)*$W20^3+VLOOKUP($W20,胸囲データ!$R$17:$W$18,4,TRUE)*$W20^2+VLOOKUP($W20,胸囲データ!$R$17:$W$18,5,TRUE)*$W20+VLOOKUP($W20,胸囲データ!$R$17:$W$18,6,TRUE)</f>
        <v>#N/A</v>
      </c>
    </row>
    <row r="21" spans="1:57" x14ac:dyDescent="0.15">
      <c r="A21" s="35"/>
      <c r="B21" s="36"/>
      <c r="C21" s="36"/>
      <c r="D21" s="49"/>
      <c r="E21" s="49"/>
      <c r="F21" s="51" t="str">
        <f t="shared" si="29"/>
        <v/>
      </c>
      <c r="G21" s="37" t="str">
        <f t="shared" si="0"/>
        <v/>
      </c>
      <c r="H21" s="38" t="str">
        <f>IF(ISERROR(W21),"",VLOOKUP(W21,成長曲線_データ!$D$4:$AC$214,3,TRUE))</f>
        <v/>
      </c>
      <c r="I21" s="39" t="str">
        <f t="shared" si="1"/>
        <v/>
      </c>
      <c r="J21" s="39" t="str">
        <f t="shared" si="2"/>
        <v/>
      </c>
      <c r="K21" s="39" t="str">
        <f t="shared" si="3"/>
        <v/>
      </c>
      <c r="L21" s="39" t="str">
        <f t="shared" si="4"/>
        <v/>
      </c>
      <c r="M21" s="39" t="str">
        <f t="shared" si="27"/>
        <v/>
      </c>
      <c r="N21" s="39" t="str">
        <f t="shared" si="5"/>
        <v/>
      </c>
      <c r="O21" s="40" t="str">
        <f t="shared" si="6"/>
        <v/>
      </c>
      <c r="P21" s="40" t="str">
        <f t="shared" si="7"/>
        <v/>
      </c>
      <c r="Q21" s="39" t="str">
        <f t="shared" si="8"/>
        <v/>
      </c>
      <c r="R21" s="39" t="str">
        <f t="shared" si="9"/>
        <v/>
      </c>
      <c r="S21" s="39" t="str">
        <f t="shared" si="10"/>
        <v/>
      </c>
      <c r="T21" s="41" t="str">
        <f t="shared" si="11"/>
        <v/>
      </c>
      <c r="V21" s="90"/>
      <c r="W21" s="79" t="e">
        <f t="shared" si="31"/>
        <v>#N/A</v>
      </c>
      <c r="X21" s="79" t="e">
        <f t="shared" si="12"/>
        <v>#N/A</v>
      </c>
      <c r="Y21" s="80" t="e">
        <f>IF(W21="","",VLOOKUP(W21,成長曲線_データ!$D$4:$AC$214,4,TRUE))</f>
        <v>#N/A</v>
      </c>
      <c r="Z21" s="80" t="e">
        <f>IF(W21="","",VLOOKUP(W21,成長曲線_データ!$D$4:$AC$214,12,TRUE))</f>
        <v>#N/A</v>
      </c>
      <c r="AA21" s="81" t="e">
        <f>IF(W21="","",VLOOKUP(W21,成長曲線_データ!$D$4:$AC$214,13,TRUE))</f>
        <v>#N/A</v>
      </c>
      <c r="AB21" s="94" t="e">
        <f t="shared" si="13"/>
        <v>#N/A</v>
      </c>
      <c r="AC21" s="82" t="e">
        <f>IF(W21&lt;0.5,NA(),VLOOKUP((W21+1/8),成長曲線_データ!$V$4:$AA$73,2,TRUE))</f>
        <v>#N/A</v>
      </c>
      <c r="AD21" s="82" t="e">
        <f>IF(W21&lt;1,NA(),VLOOKUP(W21,成長曲線_データ!$V$4:$AA$73,3,TRUE))</f>
        <v>#N/A</v>
      </c>
      <c r="AE21" s="82" t="e">
        <f>IF(W21&lt;=6.5,VLOOKUP(W21,頭囲データ!$C$10:$E$85,2,TRUE),NA())</f>
        <v>#N/A</v>
      </c>
      <c r="AF21" s="82" t="e">
        <f>IF(W21&lt;=6.5,VLOOKUP(W21,頭囲データ!$C$10:$E$85,3,TRUE),NA())</f>
        <v>#N/A</v>
      </c>
      <c r="AG21" s="89" t="str">
        <f>入力!F21&amp;"y"&amp;入力!G21&amp;"m"</f>
        <v>ym</v>
      </c>
      <c r="AH21" s="89" t="e">
        <f>IF(AND(入力!W21&gt;=1,入力!W21&lt;6,入力!B21&gt;=70,入力!B21&lt;=120),入力!B21,NA())</f>
        <v>#N/A</v>
      </c>
      <c r="AI21" s="89" t="e">
        <f>IF(AND(入力!W21&gt;=1,入力!W21&lt;6,入力!B21&gt;=70,入力!B21&lt;=120),入力!X21,NA())</f>
        <v>#N/A</v>
      </c>
      <c r="AJ21" s="89" t="e">
        <f>IF(AND(入力!W21&gt;=6,入力!B21&gt;=100,入力!B21&lt;=184),入力!B21,NA())</f>
        <v>#N/A</v>
      </c>
      <c r="AK21" s="89" t="e">
        <f>IF(AND(入力!W21&gt;=6,入力!B21&gt;=100,入力!B21&lt;=184),入力!X21,NA())</f>
        <v>#N/A</v>
      </c>
      <c r="AL21" s="82" t="e">
        <f t="shared" si="14"/>
        <v>#N/A</v>
      </c>
      <c r="AM21" s="82"/>
      <c r="AN21" s="80" t="e">
        <f t="shared" si="15"/>
        <v>#N/A</v>
      </c>
      <c r="AO21" s="80" t="e">
        <f t="shared" si="16"/>
        <v>#N/A</v>
      </c>
      <c r="AP21" s="81" t="e">
        <f t="shared" si="17"/>
        <v>#N/A</v>
      </c>
      <c r="AQ21" s="81" t="e">
        <f t="shared" si="18"/>
        <v>#VALUE!</v>
      </c>
      <c r="AR21" s="81" t="e">
        <f t="shared" si="19"/>
        <v>#N/A</v>
      </c>
      <c r="AS21" s="81" t="e">
        <f t="shared" si="20"/>
        <v>#N/A</v>
      </c>
      <c r="AT21" s="81" t="e">
        <f t="shared" si="21"/>
        <v>#N/A</v>
      </c>
      <c r="AU21" s="81" t="e">
        <f t="shared" si="22"/>
        <v>#N/A</v>
      </c>
      <c r="AV21" s="81" t="e">
        <f t="shared" si="23"/>
        <v>#N/A</v>
      </c>
      <c r="AW21" s="81" t="e">
        <f t="shared" si="24"/>
        <v>#N/A</v>
      </c>
      <c r="AX21" s="81" t="e">
        <f t="shared" si="25"/>
        <v>#N/A</v>
      </c>
      <c r="AY21" s="81" t="e">
        <f>VLOOKUP($W21,頭囲データ!$R$10:$W$11,3,TRUE)*$W21^3+VLOOKUP($W21,頭囲データ!$R$10:$W$11,4,TRUE)*$W21^2+VLOOKUP($W21,頭囲データ!$R$10:$W$11,5,TRUE)*$W21+VLOOKUP($W21,頭囲データ!$R$10:$W$11,6,TRUE)</f>
        <v>#N/A</v>
      </c>
      <c r="AZ21" s="81" t="e">
        <f>VLOOKUP($W21,頭囲データ!$R$12:$W$16,3,TRUE)*$W21^3+VLOOKUP($W21,頭囲データ!$R$12:$W$16,4,TRUE)*$W21^2+VLOOKUP($W21,頭囲データ!$R$12:$W$16,5,TRUE)*$W21+VLOOKUP($W21,頭囲データ!$R$12:$W$16,6,TRUE)</f>
        <v>#N/A</v>
      </c>
      <c r="BA21" s="81" t="e">
        <f>VLOOKUP($W21,頭囲データ!$R$17:$W$18,3,TRUE)*$W21^3+VLOOKUP($W21,頭囲データ!$R$17:$W$18,4,TRUE)*$W21^2+VLOOKUP($W21,頭囲データ!$R$17:$W$18,5,TRUE)*$W21+VLOOKUP($W21,頭囲データ!$R$17:$W$18,6,TRUE)</f>
        <v>#N/A</v>
      </c>
      <c r="BB21" s="81" t="e">
        <f>IF(AND(W21&lt;6.5,#REF!&gt;0),((#REF!/$BD21)^$BC21-1)/($BC21*$BE21),NA())</f>
        <v>#N/A</v>
      </c>
      <c r="BC21" s="81" t="e">
        <f>VLOOKUP($W21,胸囲データ!$R$10:$W$11,3,TRUE)*$W21^3+VLOOKUP($W21,胸囲データ!$R$10:$W$11,4,TRUE)*$W21^2+VLOOKUP($W21,胸囲データ!$R$10:$W$11,5,TRUE)*$W21+VLOOKUP($W21,胸囲データ!$R$10:$W$11,6,TRUE)</f>
        <v>#N/A</v>
      </c>
      <c r="BD21" s="81" t="e">
        <f>VLOOKUP($W21,胸囲データ!$R$12:$W$16,3,TRUE)*$W21^3+VLOOKUP($W21,胸囲データ!$R$12:$W$16,4,TRUE)*$W21^2+VLOOKUP($W21,胸囲データ!$R$12:$W$16,5,TRUE)*$W21+VLOOKUP($W21,胸囲データ!$R$12:$W$16,6,TRUE)</f>
        <v>#N/A</v>
      </c>
      <c r="BE21" s="81" t="e">
        <f>VLOOKUP($W21,胸囲データ!$R$17:$W$18,3,TRUE)*$W21^3+VLOOKUP($W21,胸囲データ!$R$17:$W$18,4,TRUE)*$W21^2+VLOOKUP($W21,胸囲データ!$R$17:$W$18,5,TRUE)*$W21+VLOOKUP($W21,胸囲データ!$R$17:$W$18,6,TRUE)</f>
        <v>#N/A</v>
      </c>
    </row>
    <row r="22" spans="1:57" x14ac:dyDescent="0.15">
      <c r="A22" s="35"/>
      <c r="B22" s="36"/>
      <c r="C22" s="36"/>
      <c r="D22" s="49"/>
      <c r="E22" s="95"/>
      <c r="F22" s="51" t="str">
        <f t="shared" si="29"/>
        <v/>
      </c>
      <c r="G22" s="37" t="str">
        <f t="shared" si="0"/>
        <v/>
      </c>
      <c r="H22" s="38" t="str">
        <f>IF(ISERROR(W22),"",VLOOKUP(W22,成長曲線_データ!$D$4:$AC$214,3,TRUE))</f>
        <v/>
      </c>
      <c r="I22" s="39" t="str">
        <f t="shared" si="1"/>
        <v/>
      </c>
      <c r="J22" s="39" t="str">
        <f t="shared" si="2"/>
        <v/>
      </c>
      <c r="K22" s="39" t="str">
        <f t="shared" si="3"/>
        <v/>
      </c>
      <c r="L22" s="39" t="str">
        <f t="shared" si="4"/>
        <v/>
      </c>
      <c r="M22" s="39" t="str">
        <f t="shared" si="27"/>
        <v/>
      </c>
      <c r="N22" s="39" t="str">
        <f t="shared" si="5"/>
        <v/>
      </c>
      <c r="O22" s="40" t="str">
        <f t="shared" si="6"/>
        <v/>
      </c>
      <c r="P22" s="40" t="str">
        <f t="shared" si="7"/>
        <v/>
      </c>
      <c r="Q22" s="39" t="str">
        <f t="shared" si="8"/>
        <v/>
      </c>
      <c r="R22" s="39" t="str">
        <f t="shared" si="9"/>
        <v/>
      </c>
      <c r="S22" s="39" t="str">
        <f t="shared" si="10"/>
        <v/>
      </c>
      <c r="T22" s="41" t="str">
        <f t="shared" si="11"/>
        <v/>
      </c>
      <c r="V22" s="90"/>
      <c r="W22" s="79" t="e">
        <f t="shared" si="31"/>
        <v>#N/A</v>
      </c>
      <c r="X22" s="79" t="e">
        <f t="shared" si="12"/>
        <v>#N/A</v>
      </c>
      <c r="Y22" s="80" t="e">
        <f>IF(W22="","",VLOOKUP(W22,成長曲線_データ!$D$4:$AC$214,4,TRUE))</f>
        <v>#N/A</v>
      </c>
      <c r="Z22" s="80" t="e">
        <f>IF(W22="","",VLOOKUP(W22,成長曲線_データ!$D$4:$AC$214,12,TRUE))</f>
        <v>#N/A</v>
      </c>
      <c r="AA22" s="81" t="e">
        <f>IF(W22="","",VLOOKUP(W22,成長曲線_データ!$D$4:$AC$214,13,TRUE))</f>
        <v>#N/A</v>
      </c>
      <c r="AB22" s="94" t="e">
        <f t="shared" si="13"/>
        <v>#N/A</v>
      </c>
      <c r="AC22" s="82" t="e">
        <f>IF(W22&lt;0.5,NA(),VLOOKUP((W22+1/8),成長曲線_データ!$V$4:$AA$73,2,TRUE))</f>
        <v>#N/A</v>
      </c>
      <c r="AD22" s="82" t="e">
        <f>IF(W22&lt;1,NA(),VLOOKUP(W22,成長曲線_データ!$V$4:$AA$73,3,TRUE))</f>
        <v>#N/A</v>
      </c>
      <c r="AE22" s="82" t="e">
        <f>IF(W22&lt;=6.5,VLOOKUP(W22,頭囲データ!$C$10:$E$85,2,TRUE),NA())</f>
        <v>#N/A</v>
      </c>
      <c r="AF22" s="82" t="e">
        <f>IF(W22&lt;=6.5,VLOOKUP(W22,頭囲データ!$C$10:$E$85,3,TRUE),NA())</f>
        <v>#N/A</v>
      </c>
      <c r="AG22" s="89" t="str">
        <f>入力!F22&amp;"y"&amp;入力!G22&amp;"m"</f>
        <v>ym</v>
      </c>
      <c r="AH22" s="89" t="e">
        <f>IF(AND(入力!W22&gt;=1,入力!W22&lt;6,入力!B22&gt;=70,入力!B22&lt;=120),入力!B22-0.5,NA())</f>
        <v>#N/A</v>
      </c>
      <c r="AI22" s="89" t="e">
        <f>IF(AND(入力!W22&gt;=1,入力!W22&lt;6,入力!B22&gt;=70,入力!B22&lt;=120),入力!X22,NA())</f>
        <v>#N/A</v>
      </c>
      <c r="AJ22" s="89" t="e">
        <f>IF(AND(入力!W22&gt;=6,入力!B22&gt;=100,入力!B22&lt;=184),入力!B22,NA())</f>
        <v>#N/A</v>
      </c>
      <c r="AK22" s="89" t="e">
        <f>IF(AND(入力!W22&gt;=6,入力!B22&gt;=100,入力!B22&lt;=184),入力!X22,NA())</f>
        <v>#N/A</v>
      </c>
      <c r="AL22" s="82" t="e">
        <f t="shared" si="14"/>
        <v>#N/A</v>
      </c>
      <c r="AM22" s="82"/>
      <c r="AN22" s="80" t="e">
        <f t="shared" si="15"/>
        <v>#N/A</v>
      </c>
      <c r="AO22" s="80" t="e">
        <f t="shared" si="16"/>
        <v>#N/A</v>
      </c>
      <c r="AP22" s="81" t="e">
        <f t="shared" si="17"/>
        <v>#N/A</v>
      </c>
      <c r="AQ22" s="81" t="e">
        <f t="shared" si="18"/>
        <v>#VALUE!</v>
      </c>
      <c r="AR22" s="81" t="e">
        <f t="shared" si="19"/>
        <v>#N/A</v>
      </c>
      <c r="AS22" s="81" t="e">
        <f t="shared" si="20"/>
        <v>#N/A</v>
      </c>
      <c r="AT22" s="81" t="e">
        <f t="shared" si="21"/>
        <v>#N/A</v>
      </c>
      <c r="AU22" s="81" t="e">
        <f t="shared" si="22"/>
        <v>#N/A</v>
      </c>
      <c r="AV22" s="81" t="e">
        <f t="shared" si="23"/>
        <v>#N/A</v>
      </c>
      <c r="AW22" s="81" t="e">
        <f t="shared" si="24"/>
        <v>#N/A</v>
      </c>
      <c r="AX22" s="81" t="e">
        <f t="shared" si="25"/>
        <v>#N/A</v>
      </c>
      <c r="AY22" s="81" t="e">
        <f>VLOOKUP($W22,頭囲データ!$R$10:$W$11,3,TRUE)*$W22^3+VLOOKUP($W22,頭囲データ!$R$10:$W$11,4,TRUE)*$W22^2+VLOOKUP($W22,頭囲データ!$R$10:$W$11,5,TRUE)*$W22+VLOOKUP($W22,頭囲データ!$R$10:$W$11,6,TRUE)</f>
        <v>#N/A</v>
      </c>
      <c r="AZ22" s="81" t="e">
        <f>VLOOKUP($W22,頭囲データ!$R$12:$W$16,3,TRUE)*$W22^3+VLOOKUP($W22,頭囲データ!$R$12:$W$16,4,TRUE)*$W22^2+VLOOKUP($W22,頭囲データ!$R$12:$W$16,5,TRUE)*$W22+VLOOKUP($W22,頭囲データ!$R$12:$W$16,6,TRUE)</f>
        <v>#N/A</v>
      </c>
      <c r="BA22" s="81" t="e">
        <f>VLOOKUP($W22,頭囲データ!$R$17:$W$18,3,TRUE)*$W22^3+VLOOKUP($W22,頭囲データ!$R$17:$W$18,4,TRUE)*$W22^2+VLOOKUP($W22,頭囲データ!$R$17:$W$18,5,TRUE)*$W22+VLOOKUP($W22,頭囲データ!$R$17:$W$18,6,TRUE)</f>
        <v>#N/A</v>
      </c>
      <c r="BB22" s="81" t="e">
        <f>IF(AND(W22&lt;6.5,E21&gt;0),(($E21/$BD22)^$BC22-1)/($BC22*$BE22),NA())</f>
        <v>#N/A</v>
      </c>
      <c r="BC22" s="81" t="e">
        <f>VLOOKUP($W22,胸囲データ!$R$10:$W$11,3,TRUE)*$W22^3+VLOOKUP($W22,胸囲データ!$R$10:$W$11,4,TRUE)*$W22^2+VLOOKUP($W22,胸囲データ!$R$10:$W$11,5,TRUE)*$W22+VLOOKUP($W22,胸囲データ!$R$10:$W$11,6,TRUE)</f>
        <v>#N/A</v>
      </c>
      <c r="BD22" s="81" t="e">
        <f>VLOOKUP($W22,胸囲データ!$R$12:$W$16,3,TRUE)*$W22^3+VLOOKUP($W22,胸囲データ!$R$12:$W$16,4,TRUE)*$W22^2+VLOOKUP($W22,胸囲データ!$R$12:$W$16,5,TRUE)*$W22+VLOOKUP($W22,胸囲データ!$R$12:$W$16,6,TRUE)</f>
        <v>#N/A</v>
      </c>
      <c r="BE22" s="81" t="e">
        <f>VLOOKUP($W22,胸囲データ!$R$17:$W$18,3,TRUE)*$W22^3+VLOOKUP($W22,胸囲データ!$R$17:$W$18,4,TRUE)*$W22^2+VLOOKUP($W22,胸囲データ!$R$17:$W$18,5,TRUE)*$W22+VLOOKUP($W22,胸囲データ!$R$17:$W$18,6,TRUE)</f>
        <v>#N/A</v>
      </c>
    </row>
    <row r="23" spans="1:57" x14ac:dyDescent="0.15">
      <c r="A23" s="35"/>
      <c r="B23" s="36"/>
      <c r="C23" s="36"/>
      <c r="D23" s="49"/>
      <c r="E23" s="49"/>
      <c r="F23" s="51" t="str">
        <f t="shared" si="29"/>
        <v/>
      </c>
      <c r="G23" s="37" t="str">
        <f t="shared" si="0"/>
        <v/>
      </c>
      <c r="H23" s="38" t="str">
        <f>IF(ISERROR(W23),"",VLOOKUP(W23,成長曲線_データ!$D$4:$AC$214,3,TRUE))</f>
        <v/>
      </c>
      <c r="I23" s="39" t="str">
        <f t="shared" si="1"/>
        <v/>
      </c>
      <c r="J23" s="39" t="str">
        <f t="shared" si="2"/>
        <v/>
      </c>
      <c r="K23" s="39" t="str">
        <f t="shared" si="3"/>
        <v/>
      </c>
      <c r="L23" s="39" t="str">
        <f t="shared" si="4"/>
        <v/>
      </c>
      <c r="M23" s="39" t="str">
        <f t="shared" si="27"/>
        <v/>
      </c>
      <c r="N23" s="39" t="str">
        <f t="shared" si="5"/>
        <v/>
      </c>
      <c r="O23" s="40" t="str">
        <f t="shared" si="6"/>
        <v/>
      </c>
      <c r="P23" s="40" t="str">
        <f t="shared" si="7"/>
        <v/>
      </c>
      <c r="Q23" s="39" t="str">
        <f t="shared" si="8"/>
        <v/>
      </c>
      <c r="R23" s="39" t="str">
        <f t="shared" si="9"/>
        <v/>
      </c>
      <c r="S23" s="39" t="str">
        <f t="shared" si="10"/>
        <v/>
      </c>
      <c r="T23" s="41" t="str">
        <f t="shared" si="11"/>
        <v/>
      </c>
      <c r="V23" s="90"/>
      <c r="W23" s="79" t="e">
        <f t="shared" si="31"/>
        <v>#N/A</v>
      </c>
      <c r="X23" s="79" t="e">
        <f t="shared" si="12"/>
        <v>#N/A</v>
      </c>
      <c r="Y23" s="80" t="e">
        <f>IF(W23="","",VLOOKUP(W23,成長曲線_データ!$D$4:$AC$214,4,TRUE))</f>
        <v>#N/A</v>
      </c>
      <c r="Z23" s="80" t="e">
        <f>IF(W23="","",VLOOKUP(W23,成長曲線_データ!$D$4:$AC$214,12,TRUE))</f>
        <v>#N/A</v>
      </c>
      <c r="AA23" s="81" t="e">
        <f>IF(W23="","",VLOOKUP(W23,成長曲線_データ!$D$4:$AC$214,13,TRUE))</f>
        <v>#N/A</v>
      </c>
      <c r="AB23" s="94" t="e">
        <f t="shared" si="13"/>
        <v>#N/A</v>
      </c>
      <c r="AC23" s="82" t="e">
        <f>IF(W23&lt;0.5,NA(),VLOOKUP((W23+1/8),成長曲線_データ!$V$4:$AA$73,2,TRUE))</f>
        <v>#N/A</v>
      </c>
      <c r="AD23" s="82" t="e">
        <f>IF(W23&lt;1,NA(),VLOOKUP(W23,成長曲線_データ!$V$4:$AA$73,3,TRUE))</f>
        <v>#N/A</v>
      </c>
      <c r="AE23" s="82" t="e">
        <f>IF(W23&lt;=6.5,VLOOKUP(W23,頭囲データ!$C$10:$E$85,2,TRUE),NA())</f>
        <v>#N/A</v>
      </c>
      <c r="AF23" s="82" t="e">
        <f>IF(W23&lt;=6.5,VLOOKUP(W23,頭囲データ!$C$10:$E$85,3,TRUE),NA())</f>
        <v>#N/A</v>
      </c>
      <c r="AG23" s="89" t="str">
        <f>入力!F23&amp;"y"&amp;入力!G23&amp;"m"</f>
        <v>ym</v>
      </c>
      <c r="AH23" s="89" t="e">
        <f>IF(AND(入力!W23&gt;=1,入力!W23&lt;6,入力!B23&gt;=70,入力!B23&lt;=120),入力!B23-0.5,NA())</f>
        <v>#N/A</v>
      </c>
      <c r="AI23" s="89" t="e">
        <f>IF(AND(入力!W23&gt;=1,入力!W23&lt;6,入力!B23&gt;=70,入力!B23&lt;=120),入力!X23,NA())</f>
        <v>#N/A</v>
      </c>
      <c r="AJ23" s="89" t="e">
        <f>IF(AND(入力!W23&gt;=6,入力!B23&gt;=100,入力!B23&lt;=184),入力!B23,NA())</f>
        <v>#N/A</v>
      </c>
      <c r="AK23" s="89" t="e">
        <f>IF(AND(入力!W23&gt;=6,入力!B23&gt;=100,入力!B23&lt;=184),入力!X23,NA())</f>
        <v>#N/A</v>
      </c>
      <c r="AL23" s="82" t="e">
        <f t="shared" si="14"/>
        <v>#N/A</v>
      </c>
      <c r="AM23" s="82"/>
      <c r="AN23" s="80" t="e">
        <f t="shared" si="15"/>
        <v>#N/A</v>
      </c>
      <c r="AO23" s="80" t="e">
        <f t="shared" si="16"/>
        <v>#N/A</v>
      </c>
      <c r="AP23" s="81" t="e">
        <f t="shared" si="17"/>
        <v>#N/A</v>
      </c>
      <c r="AQ23" s="81" t="e">
        <f t="shared" si="18"/>
        <v>#VALUE!</v>
      </c>
      <c r="AR23" s="81" t="e">
        <f t="shared" si="19"/>
        <v>#N/A</v>
      </c>
      <c r="AS23" s="81" t="e">
        <f t="shared" si="20"/>
        <v>#N/A</v>
      </c>
      <c r="AT23" s="81" t="e">
        <f t="shared" si="21"/>
        <v>#N/A</v>
      </c>
      <c r="AU23" s="81" t="e">
        <f t="shared" si="22"/>
        <v>#N/A</v>
      </c>
      <c r="AV23" s="81" t="e">
        <f t="shared" si="23"/>
        <v>#N/A</v>
      </c>
      <c r="AW23" s="81" t="e">
        <f t="shared" si="24"/>
        <v>#N/A</v>
      </c>
      <c r="AX23" s="81" t="e">
        <f t="shared" si="25"/>
        <v>#N/A</v>
      </c>
      <c r="AY23" s="81" t="e">
        <f>VLOOKUP($W23,頭囲データ!$R$10:$W$11,3,TRUE)*$W23^3+VLOOKUP($W23,頭囲データ!$R$10:$W$11,4,TRUE)*$W23^2+VLOOKUP($W23,頭囲データ!$R$10:$W$11,5,TRUE)*$W23+VLOOKUP($W23,頭囲データ!$R$10:$W$11,6,TRUE)</f>
        <v>#N/A</v>
      </c>
      <c r="AZ23" s="81" t="e">
        <f>VLOOKUP($W23,頭囲データ!$R$12:$W$16,3,TRUE)*$W23^3+VLOOKUP($W23,頭囲データ!$R$12:$W$16,4,TRUE)*$W23^2+VLOOKUP($W23,頭囲データ!$R$12:$W$16,5,TRUE)*$W23+VLOOKUP($W23,頭囲データ!$R$12:$W$16,6,TRUE)</f>
        <v>#N/A</v>
      </c>
      <c r="BA23" s="81" t="e">
        <f>VLOOKUP($W23,頭囲データ!$R$17:$W$18,3,TRUE)*$W23^3+VLOOKUP($W23,頭囲データ!$R$17:$W$18,4,TRUE)*$W23^2+VLOOKUP($W23,頭囲データ!$R$17:$W$18,5,TRUE)*$W23+VLOOKUP($W23,頭囲データ!$R$17:$W$18,6,TRUE)</f>
        <v>#N/A</v>
      </c>
      <c r="BB23" s="81" t="e">
        <f t="shared" si="26"/>
        <v>#N/A</v>
      </c>
      <c r="BC23" s="81" t="e">
        <f>VLOOKUP($W23,胸囲データ!$R$10:$W$11,3,TRUE)*$W23^3+VLOOKUP($W23,胸囲データ!$R$10:$W$11,4,TRUE)*$W23^2+VLOOKUP($W23,胸囲データ!$R$10:$W$11,5,TRUE)*$W23+VLOOKUP($W23,胸囲データ!$R$10:$W$11,6,TRUE)</f>
        <v>#N/A</v>
      </c>
      <c r="BD23" s="81" t="e">
        <f>VLOOKUP($W23,胸囲データ!$R$12:$W$16,3,TRUE)*$W23^3+VLOOKUP($W23,胸囲データ!$R$12:$W$16,4,TRUE)*$W23^2+VLOOKUP($W23,胸囲データ!$R$12:$W$16,5,TRUE)*$W23+VLOOKUP($W23,胸囲データ!$R$12:$W$16,6,TRUE)</f>
        <v>#N/A</v>
      </c>
      <c r="BE23" s="81" t="e">
        <f>VLOOKUP($W23,胸囲データ!$R$17:$W$18,3,TRUE)*$W23^3+VLOOKUP($W23,胸囲データ!$R$17:$W$18,4,TRUE)*$W23^2+VLOOKUP($W23,胸囲データ!$R$17:$W$18,5,TRUE)*$W23+VLOOKUP($W23,胸囲データ!$R$17:$W$18,6,TRUE)</f>
        <v>#N/A</v>
      </c>
    </row>
    <row r="24" spans="1:57" x14ac:dyDescent="0.15">
      <c r="A24" s="35"/>
      <c r="B24" s="36"/>
      <c r="C24" s="36"/>
      <c r="D24" s="49"/>
      <c r="E24" s="49"/>
      <c r="F24" s="51" t="str">
        <f t="shared" si="29"/>
        <v/>
      </c>
      <c r="G24" s="37" t="str">
        <f t="shared" si="0"/>
        <v/>
      </c>
      <c r="H24" s="38" t="str">
        <f>IF(ISERROR(W24),"",VLOOKUP(W24,成長曲線_データ!$D$4:$AC$214,3,TRUE))</f>
        <v/>
      </c>
      <c r="I24" s="39" t="str">
        <f t="shared" si="1"/>
        <v/>
      </c>
      <c r="J24" s="39" t="str">
        <f t="shared" si="2"/>
        <v/>
      </c>
      <c r="K24" s="39" t="str">
        <f t="shared" si="3"/>
        <v/>
      </c>
      <c r="L24" s="39" t="str">
        <f t="shared" si="4"/>
        <v/>
      </c>
      <c r="M24" s="39" t="str">
        <f t="shared" si="27"/>
        <v/>
      </c>
      <c r="N24" s="39" t="str">
        <f t="shared" si="5"/>
        <v/>
      </c>
      <c r="O24" s="40" t="str">
        <f t="shared" si="6"/>
        <v/>
      </c>
      <c r="P24" s="40" t="str">
        <f t="shared" si="7"/>
        <v/>
      </c>
      <c r="Q24" s="39" t="str">
        <f t="shared" si="8"/>
        <v/>
      </c>
      <c r="R24" s="39" t="str">
        <f t="shared" si="9"/>
        <v/>
      </c>
      <c r="S24" s="39" t="str">
        <f t="shared" si="10"/>
        <v/>
      </c>
      <c r="T24" s="41" t="str">
        <f t="shared" si="11"/>
        <v/>
      </c>
      <c r="V24" s="90"/>
      <c r="W24" s="79" t="e">
        <f t="shared" si="31"/>
        <v>#N/A</v>
      </c>
      <c r="X24" s="79" t="e">
        <f t="shared" si="12"/>
        <v>#N/A</v>
      </c>
      <c r="Y24" s="80" t="e">
        <f>IF(W24="","",VLOOKUP(W24,成長曲線_データ!$D$4:$AC$214,4,TRUE))</f>
        <v>#N/A</v>
      </c>
      <c r="Z24" s="80" t="e">
        <f>IF(W24="","",VLOOKUP(W24,成長曲線_データ!$D$4:$AC$214,12,TRUE))</f>
        <v>#N/A</v>
      </c>
      <c r="AA24" s="81" t="e">
        <f>IF(W24="","",VLOOKUP(W24,成長曲線_データ!$D$4:$AC$214,13,TRUE))</f>
        <v>#N/A</v>
      </c>
      <c r="AB24" s="94" t="e">
        <f t="shared" si="13"/>
        <v>#N/A</v>
      </c>
      <c r="AC24" s="82" t="e">
        <f>IF(W24&lt;0.5,NA(),VLOOKUP((W24+1/8),成長曲線_データ!$V$4:$AA$73,2,TRUE))</f>
        <v>#N/A</v>
      </c>
      <c r="AD24" s="82" t="e">
        <f>IF(W24&lt;1,NA(),VLOOKUP(W24,成長曲線_データ!$V$4:$AA$73,3,TRUE))</f>
        <v>#N/A</v>
      </c>
      <c r="AE24" s="82" t="e">
        <f>IF(W24&lt;=6.5,VLOOKUP(W24,頭囲データ!$C$10:$E$85,2,TRUE),NA())</f>
        <v>#N/A</v>
      </c>
      <c r="AF24" s="82" t="e">
        <f>IF(W24&lt;=6.5,VLOOKUP(W24,頭囲データ!$C$10:$E$85,3,TRUE),NA())</f>
        <v>#N/A</v>
      </c>
      <c r="AG24" s="89" t="str">
        <f>入力!F24&amp;"y"&amp;入力!G24&amp;"m"</f>
        <v>ym</v>
      </c>
      <c r="AH24" s="89" t="e">
        <f>IF(AND(入力!W24&gt;=1,入力!W24&lt;6,入力!B24&gt;=70,入力!B24&lt;=120),入力!B24,NA())</f>
        <v>#N/A</v>
      </c>
      <c r="AI24" s="89" t="e">
        <f>IF(AND(入力!W24&gt;=1,入力!W24&lt;6,入力!B24&gt;=70,入力!B24&lt;=120),入力!X24,NA())</f>
        <v>#N/A</v>
      </c>
      <c r="AJ24" s="89" t="e">
        <f>IF(AND(入力!W24&gt;=6,入力!B24&gt;=100,入力!B24&lt;=184),入力!B24,NA())</f>
        <v>#N/A</v>
      </c>
      <c r="AK24" s="89" t="e">
        <f>IF(AND(入力!W24&gt;=6,入力!B24&gt;=100,入力!B24&lt;=184),入力!X24,NA())</f>
        <v>#N/A</v>
      </c>
      <c r="AL24" s="82" t="e">
        <f t="shared" si="14"/>
        <v>#N/A</v>
      </c>
      <c r="AM24" s="82"/>
      <c r="AN24" s="80" t="e">
        <f t="shared" si="15"/>
        <v>#N/A</v>
      </c>
      <c r="AO24" s="80" t="e">
        <f t="shared" si="16"/>
        <v>#N/A</v>
      </c>
      <c r="AP24" s="81" t="e">
        <f t="shared" si="17"/>
        <v>#N/A</v>
      </c>
      <c r="AQ24" s="81" t="e">
        <f t="shared" si="18"/>
        <v>#VALUE!</v>
      </c>
      <c r="AR24" s="81" t="e">
        <f t="shared" si="19"/>
        <v>#N/A</v>
      </c>
      <c r="AS24" s="81" t="e">
        <f t="shared" si="20"/>
        <v>#N/A</v>
      </c>
      <c r="AT24" s="81" t="e">
        <f t="shared" si="21"/>
        <v>#N/A</v>
      </c>
      <c r="AU24" s="81" t="e">
        <f t="shared" si="22"/>
        <v>#N/A</v>
      </c>
      <c r="AV24" s="81" t="e">
        <f t="shared" si="23"/>
        <v>#N/A</v>
      </c>
      <c r="AW24" s="81" t="e">
        <f t="shared" si="24"/>
        <v>#N/A</v>
      </c>
      <c r="AX24" s="81" t="e">
        <f t="shared" si="25"/>
        <v>#N/A</v>
      </c>
      <c r="AY24" s="81" t="e">
        <f>VLOOKUP($W24,頭囲データ!$R$10:$W$11,3,TRUE)*$W24^3+VLOOKUP($W24,頭囲データ!$R$10:$W$11,4,TRUE)*$W24^2+VLOOKUP($W24,頭囲データ!$R$10:$W$11,5,TRUE)*$W24+VLOOKUP($W24,頭囲データ!$R$10:$W$11,6,TRUE)</f>
        <v>#N/A</v>
      </c>
      <c r="AZ24" s="81" t="e">
        <f>VLOOKUP($W24,頭囲データ!$R$12:$W$16,3,TRUE)*$W24^3+VLOOKUP($W24,頭囲データ!$R$12:$W$16,4,TRUE)*$W24^2+VLOOKUP($W24,頭囲データ!$R$12:$W$16,5,TRUE)*$W24+VLOOKUP($W24,頭囲データ!$R$12:$W$16,6,TRUE)</f>
        <v>#N/A</v>
      </c>
      <c r="BA24" s="81" t="e">
        <f>VLOOKUP($W24,頭囲データ!$R$17:$W$18,3,TRUE)*$W24^3+VLOOKUP($W24,頭囲データ!$R$17:$W$18,4,TRUE)*$W24^2+VLOOKUP($W24,頭囲データ!$R$17:$W$18,5,TRUE)*$W24+VLOOKUP($W24,頭囲データ!$R$17:$W$18,6,TRUE)</f>
        <v>#N/A</v>
      </c>
      <c r="BB24" s="81" t="e">
        <f t="shared" si="26"/>
        <v>#N/A</v>
      </c>
      <c r="BC24" s="81" t="e">
        <f>VLOOKUP($W24,胸囲データ!$R$10:$W$11,3,TRUE)*$W24^3+VLOOKUP($W24,胸囲データ!$R$10:$W$11,4,TRUE)*$W24^2+VLOOKUP($W24,胸囲データ!$R$10:$W$11,5,TRUE)*$W24+VLOOKUP($W24,胸囲データ!$R$10:$W$11,6,TRUE)</f>
        <v>#N/A</v>
      </c>
      <c r="BD24" s="81" t="e">
        <f>VLOOKUP($W24,胸囲データ!$R$12:$W$16,3,TRUE)*$W24^3+VLOOKUP($W24,胸囲データ!$R$12:$W$16,4,TRUE)*$W24^2+VLOOKUP($W24,胸囲データ!$R$12:$W$16,5,TRUE)*$W24+VLOOKUP($W24,胸囲データ!$R$12:$W$16,6,TRUE)</f>
        <v>#N/A</v>
      </c>
      <c r="BE24" s="81" t="e">
        <f>VLOOKUP($W24,胸囲データ!$R$17:$W$18,3,TRUE)*$W24^3+VLOOKUP($W24,胸囲データ!$R$17:$W$18,4,TRUE)*$W24^2+VLOOKUP($W24,胸囲データ!$R$17:$W$18,5,TRUE)*$W24+VLOOKUP($W24,胸囲データ!$R$17:$W$18,6,TRUE)</f>
        <v>#N/A</v>
      </c>
    </row>
    <row r="25" spans="1:57" x14ac:dyDescent="0.15">
      <c r="A25" s="35"/>
      <c r="B25" s="36"/>
      <c r="C25" s="36"/>
      <c r="D25" s="49"/>
      <c r="E25" s="76"/>
      <c r="F25" s="51" t="str">
        <f t="shared" si="29"/>
        <v/>
      </c>
      <c r="G25" s="37" t="str">
        <f t="shared" si="0"/>
        <v/>
      </c>
      <c r="H25" s="38" t="str">
        <f>IF(ISERROR(W25),"",VLOOKUP(W25,成長曲線_データ!$D$4:$AC$214,3,TRUE))</f>
        <v/>
      </c>
      <c r="I25" s="39" t="str">
        <f t="shared" si="1"/>
        <v/>
      </c>
      <c r="J25" s="39" t="str">
        <f t="shared" si="2"/>
        <v/>
      </c>
      <c r="K25" s="39" t="str">
        <f t="shared" si="3"/>
        <v/>
      </c>
      <c r="L25" s="39" t="str">
        <f t="shared" si="4"/>
        <v/>
      </c>
      <c r="M25" s="39" t="str">
        <f t="shared" si="27"/>
        <v/>
      </c>
      <c r="N25" s="39" t="str">
        <f t="shared" si="5"/>
        <v/>
      </c>
      <c r="O25" s="40" t="str">
        <f t="shared" si="6"/>
        <v/>
      </c>
      <c r="P25" s="40" t="str">
        <f t="shared" si="7"/>
        <v/>
      </c>
      <c r="Q25" s="39" t="str">
        <f t="shared" si="8"/>
        <v/>
      </c>
      <c r="R25" s="39" t="str">
        <f t="shared" si="9"/>
        <v/>
      </c>
      <c r="S25" s="39" t="str">
        <f t="shared" si="10"/>
        <v/>
      </c>
      <c r="T25" s="41" t="str">
        <f t="shared" si="11"/>
        <v/>
      </c>
      <c r="V25" s="90"/>
      <c r="W25" s="79" t="e">
        <f t="shared" si="31"/>
        <v>#N/A</v>
      </c>
      <c r="X25" s="79" t="e">
        <f t="shared" si="12"/>
        <v>#N/A</v>
      </c>
      <c r="Y25" s="80" t="e">
        <f>IF(W25="","",VLOOKUP(W25,成長曲線_データ!$D$4:$AC$214,4,TRUE))</f>
        <v>#N/A</v>
      </c>
      <c r="Z25" s="80" t="e">
        <f>IF(W25="","",VLOOKUP(W25,成長曲線_データ!$D$4:$AC$214,12,TRUE))</f>
        <v>#N/A</v>
      </c>
      <c r="AA25" s="81" t="e">
        <f>IF(W25="","",VLOOKUP(W25,成長曲線_データ!$D$4:$AC$214,13,TRUE))</f>
        <v>#N/A</v>
      </c>
      <c r="AB25" s="94" t="e">
        <f t="shared" si="13"/>
        <v>#N/A</v>
      </c>
      <c r="AC25" s="82" t="e">
        <f>IF(W25&lt;0.5,NA(),VLOOKUP((W25+1/8),成長曲線_データ!$V$4:$AA$73,2,TRUE))</f>
        <v>#N/A</v>
      </c>
      <c r="AD25" s="82" t="e">
        <f>IF(W25&lt;1,NA(),VLOOKUP(W25,成長曲線_データ!$V$4:$AA$73,3,TRUE))</f>
        <v>#N/A</v>
      </c>
      <c r="AE25" s="82" t="e">
        <f>IF(W25&lt;=6.5,VLOOKUP(W25,頭囲データ!$C$10:$E$85,2,TRUE),NA())</f>
        <v>#N/A</v>
      </c>
      <c r="AF25" s="82" t="e">
        <f>IF(W25&lt;=6.5,VLOOKUP(W25,頭囲データ!$C$10:$E$85,3,TRUE),NA())</f>
        <v>#N/A</v>
      </c>
      <c r="AG25" s="89" t="str">
        <f>入力!F25&amp;"y"&amp;入力!G25&amp;"m"</f>
        <v>ym</v>
      </c>
      <c r="AH25" s="89" t="e">
        <f>IF(AND(入力!W25&gt;=1,入力!W25&lt;6,入力!B25&gt;=70,入力!B25&lt;=120),入力!B25,NA())</f>
        <v>#N/A</v>
      </c>
      <c r="AI25" s="89" t="e">
        <f>IF(AND(入力!W25&gt;=1,入力!W25&lt;6,入力!B25&gt;=70,入力!B25&lt;=120),入力!X25,NA())</f>
        <v>#N/A</v>
      </c>
      <c r="AJ25" s="89" t="e">
        <f>IF(AND(入力!W25&gt;=6,入力!B25&gt;=100,入力!B25&lt;=184),入力!B25,NA())</f>
        <v>#N/A</v>
      </c>
      <c r="AK25" s="89" t="e">
        <f>IF(AND(入力!W25&gt;=6,入力!B25&gt;=100,入力!B25&lt;=184),入力!X25,NA())</f>
        <v>#N/A</v>
      </c>
      <c r="AL25" s="82" t="e">
        <f t="shared" si="14"/>
        <v>#N/A</v>
      </c>
      <c r="AM25" s="82"/>
      <c r="AN25" s="80" t="e">
        <f t="shared" si="15"/>
        <v>#N/A</v>
      </c>
      <c r="AO25" s="80" t="e">
        <f t="shared" si="16"/>
        <v>#N/A</v>
      </c>
      <c r="AP25" s="81" t="e">
        <f t="shared" si="17"/>
        <v>#N/A</v>
      </c>
      <c r="AQ25" s="81" t="e">
        <f t="shared" si="18"/>
        <v>#VALUE!</v>
      </c>
      <c r="AR25" s="81" t="e">
        <f t="shared" si="19"/>
        <v>#N/A</v>
      </c>
      <c r="AS25" s="81" t="e">
        <f t="shared" si="20"/>
        <v>#N/A</v>
      </c>
      <c r="AT25" s="81" t="e">
        <f t="shared" si="21"/>
        <v>#N/A</v>
      </c>
      <c r="AU25" s="81" t="e">
        <f t="shared" si="22"/>
        <v>#N/A</v>
      </c>
      <c r="AV25" s="81" t="e">
        <f t="shared" si="23"/>
        <v>#N/A</v>
      </c>
      <c r="AW25" s="81" t="e">
        <f t="shared" si="24"/>
        <v>#N/A</v>
      </c>
      <c r="AX25" s="81" t="e">
        <f t="shared" si="25"/>
        <v>#N/A</v>
      </c>
      <c r="AY25" s="81" t="e">
        <f>VLOOKUP($W25,頭囲データ!$R$10:$W$11,3,TRUE)*$W25^3+VLOOKUP($W25,頭囲データ!$R$10:$W$11,4,TRUE)*$W25^2+VLOOKUP($W25,頭囲データ!$R$10:$W$11,5,TRUE)*$W25+VLOOKUP($W25,頭囲データ!$R$10:$W$11,6,TRUE)</f>
        <v>#N/A</v>
      </c>
      <c r="AZ25" s="81" t="e">
        <f>VLOOKUP($W25,頭囲データ!$R$12:$W$16,3,TRUE)*$W25^3+VLOOKUP($W25,頭囲データ!$R$12:$W$16,4,TRUE)*$W25^2+VLOOKUP($W25,頭囲データ!$R$12:$W$16,5,TRUE)*$W25+VLOOKUP($W25,頭囲データ!$R$12:$W$16,6,TRUE)</f>
        <v>#N/A</v>
      </c>
      <c r="BA25" s="81" t="e">
        <f>VLOOKUP($W25,頭囲データ!$R$17:$W$18,3,TRUE)*$W25^3+VLOOKUP($W25,頭囲データ!$R$17:$W$18,4,TRUE)*$W25^2+VLOOKUP($W25,頭囲データ!$R$17:$W$18,5,TRUE)*$W25+VLOOKUP($W25,頭囲データ!$R$17:$W$18,6,TRUE)</f>
        <v>#N/A</v>
      </c>
      <c r="BB25" s="81" t="e">
        <f t="shared" si="26"/>
        <v>#N/A</v>
      </c>
      <c r="BC25" s="81" t="e">
        <f>VLOOKUP($W25,胸囲データ!$R$10:$W$11,3,TRUE)*$W25^3+VLOOKUP($W25,胸囲データ!$R$10:$W$11,4,TRUE)*$W25^2+VLOOKUP($W25,胸囲データ!$R$10:$W$11,5,TRUE)*$W25+VLOOKUP($W25,胸囲データ!$R$10:$W$11,6,TRUE)</f>
        <v>#N/A</v>
      </c>
      <c r="BD25" s="81" t="e">
        <f>VLOOKUP($W25,胸囲データ!$R$12:$W$16,3,TRUE)*$W25^3+VLOOKUP($W25,胸囲データ!$R$12:$W$16,4,TRUE)*$W25^2+VLOOKUP($W25,胸囲データ!$R$12:$W$16,5,TRUE)*$W25+VLOOKUP($W25,胸囲データ!$R$12:$W$16,6,TRUE)</f>
        <v>#N/A</v>
      </c>
      <c r="BE25" s="81" t="e">
        <f>VLOOKUP($W25,胸囲データ!$R$17:$W$18,3,TRUE)*$W25^3+VLOOKUP($W25,胸囲データ!$R$17:$W$18,4,TRUE)*$W25^2+VLOOKUP($W25,胸囲データ!$R$17:$W$18,5,TRUE)*$W25+VLOOKUP($W25,胸囲データ!$R$17:$W$18,6,TRUE)</f>
        <v>#N/A</v>
      </c>
    </row>
    <row r="26" spans="1:57" x14ac:dyDescent="0.15">
      <c r="A26" s="35"/>
      <c r="B26" s="36"/>
      <c r="C26" s="36"/>
      <c r="D26" s="49"/>
      <c r="E26" s="76"/>
      <c r="F26" s="51" t="str">
        <f t="shared" si="29"/>
        <v/>
      </c>
      <c r="G26" s="37" t="str">
        <f t="shared" si="0"/>
        <v/>
      </c>
      <c r="H26" s="38" t="str">
        <f>IF(ISERROR(W26),"",VLOOKUP(W26,成長曲線_データ!$D$4:$AC$214,3,TRUE))</f>
        <v/>
      </c>
      <c r="I26" s="39" t="str">
        <f t="shared" si="1"/>
        <v/>
      </c>
      <c r="J26" s="39" t="str">
        <f t="shared" si="2"/>
        <v/>
      </c>
      <c r="K26" s="39" t="str">
        <f t="shared" si="3"/>
        <v/>
      </c>
      <c r="L26" s="39" t="str">
        <f t="shared" si="4"/>
        <v/>
      </c>
      <c r="M26" s="39" t="str">
        <f t="shared" si="27"/>
        <v/>
      </c>
      <c r="N26" s="39" t="str">
        <f t="shared" si="5"/>
        <v/>
      </c>
      <c r="O26" s="40" t="str">
        <f t="shared" si="6"/>
        <v/>
      </c>
      <c r="P26" s="40" t="str">
        <f t="shared" si="7"/>
        <v/>
      </c>
      <c r="Q26" s="39" t="str">
        <f t="shared" si="8"/>
        <v/>
      </c>
      <c r="R26" s="39" t="str">
        <f t="shared" si="9"/>
        <v/>
      </c>
      <c r="S26" s="39" t="str">
        <f t="shared" si="10"/>
        <v/>
      </c>
      <c r="T26" s="41" t="str">
        <f t="shared" si="11"/>
        <v/>
      </c>
      <c r="V26" s="90"/>
      <c r="W26" s="79" t="e">
        <f t="shared" si="31"/>
        <v>#N/A</v>
      </c>
      <c r="X26" s="79" t="e">
        <f t="shared" si="12"/>
        <v>#N/A</v>
      </c>
      <c r="Y26" s="80" t="e">
        <f>IF(W26="","",VLOOKUP(W26,成長曲線_データ!$D$4:$AC$214,4,TRUE))</f>
        <v>#N/A</v>
      </c>
      <c r="Z26" s="80" t="e">
        <f>IF(W26="","",VLOOKUP(W26,成長曲線_データ!$D$4:$AC$214,12,TRUE))</f>
        <v>#N/A</v>
      </c>
      <c r="AA26" s="81" t="e">
        <f>IF(W26="","",VLOOKUP(W26,成長曲線_データ!$D$4:$AC$214,13,TRUE))</f>
        <v>#N/A</v>
      </c>
      <c r="AB26" s="94" t="e">
        <f t="shared" si="13"/>
        <v>#N/A</v>
      </c>
      <c r="AC26" s="82" t="e">
        <f>IF(W26&lt;0.5,NA(),VLOOKUP((W26+1/8),成長曲線_データ!$V$4:$AA$73,2,TRUE))</f>
        <v>#N/A</v>
      </c>
      <c r="AD26" s="82" t="e">
        <f>IF(W26&lt;1,NA(),VLOOKUP(W26,成長曲線_データ!$V$4:$AA$73,3,TRUE))</f>
        <v>#N/A</v>
      </c>
      <c r="AE26" s="82" t="e">
        <f>IF(W26&lt;=6.5,VLOOKUP(W26,頭囲データ!$C$10:$E$85,2,TRUE),NA())</f>
        <v>#N/A</v>
      </c>
      <c r="AF26" s="82" t="e">
        <f>IF(W26&lt;=6.5,VLOOKUP(W26,頭囲データ!$C$10:$E$85,3,TRUE),NA())</f>
        <v>#N/A</v>
      </c>
      <c r="AG26" s="89" t="str">
        <f>入力!F26&amp;"y"&amp;入力!G26&amp;"m"</f>
        <v>ym</v>
      </c>
      <c r="AH26" s="89" t="e">
        <f>IF(AND(入力!W26&gt;=1,入力!W26&lt;6,入力!B26&gt;=70,入力!B26&lt;=120),入力!B26,NA())</f>
        <v>#N/A</v>
      </c>
      <c r="AI26" s="89" t="e">
        <f>IF(AND(入力!W26&gt;=1,入力!W26&lt;6,入力!B26&gt;=70,入力!B26&lt;=120),入力!X26,NA())</f>
        <v>#N/A</v>
      </c>
      <c r="AJ26" s="89" t="e">
        <f>IF(AND(入力!W26&gt;=6,入力!B26&gt;=100,入力!B26&lt;=184),入力!B26,NA())</f>
        <v>#N/A</v>
      </c>
      <c r="AK26" s="89" t="e">
        <f>IF(AND(入力!W26&gt;=6,入力!B26&gt;=100,入力!B26&lt;=184),入力!X26,NA())</f>
        <v>#N/A</v>
      </c>
      <c r="AL26" s="82" t="e">
        <f t="shared" si="14"/>
        <v>#N/A</v>
      </c>
      <c r="AM26" s="82"/>
      <c r="AN26" s="80" t="e">
        <f t="shared" si="15"/>
        <v>#N/A</v>
      </c>
      <c r="AO26" s="80" t="e">
        <f t="shared" si="16"/>
        <v>#N/A</v>
      </c>
      <c r="AP26" s="81" t="e">
        <f t="shared" si="17"/>
        <v>#N/A</v>
      </c>
      <c r="AQ26" s="81" t="e">
        <f t="shared" si="18"/>
        <v>#VALUE!</v>
      </c>
      <c r="AR26" s="81" t="e">
        <f t="shared" si="19"/>
        <v>#N/A</v>
      </c>
      <c r="AS26" s="81" t="e">
        <f t="shared" si="20"/>
        <v>#N/A</v>
      </c>
      <c r="AT26" s="81" t="e">
        <f t="shared" si="21"/>
        <v>#N/A</v>
      </c>
      <c r="AU26" s="81" t="e">
        <f t="shared" si="22"/>
        <v>#N/A</v>
      </c>
      <c r="AV26" s="81" t="e">
        <f t="shared" si="23"/>
        <v>#N/A</v>
      </c>
      <c r="AW26" s="81" t="e">
        <f t="shared" si="24"/>
        <v>#N/A</v>
      </c>
      <c r="AX26" s="81" t="e">
        <f t="shared" si="25"/>
        <v>#N/A</v>
      </c>
      <c r="AY26" s="81" t="e">
        <f>VLOOKUP($W26,頭囲データ!$R$10:$W$11,3,TRUE)*$W26^3+VLOOKUP($W26,頭囲データ!$R$10:$W$11,4,TRUE)*$W26^2+VLOOKUP($W26,頭囲データ!$R$10:$W$11,5,TRUE)*$W26+VLOOKUP($W26,頭囲データ!$R$10:$W$11,6,TRUE)</f>
        <v>#N/A</v>
      </c>
      <c r="AZ26" s="81" t="e">
        <f>VLOOKUP($W26,頭囲データ!$R$12:$W$16,3,TRUE)*$W26^3+VLOOKUP($W26,頭囲データ!$R$12:$W$16,4,TRUE)*$W26^2+VLOOKUP($W26,頭囲データ!$R$12:$W$16,5,TRUE)*$W26+VLOOKUP($W26,頭囲データ!$R$12:$W$16,6,TRUE)</f>
        <v>#N/A</v>
      </c>
      <c r="BA26" s="81" t="e">
        <f>VLOOKUP($W26,頭囲データ!$R$17:$W$18,3,TRUE)*$W26^3+VLOOKUP($W26,頭囲データ!$R$17:$W$18,4,TRUE)*$W26^2+VLOOKUP($W26,頭囲データ!$R$17:$W$18,5,TRUE)*$W26+VLOOKUP($W26,頭囲データ!$R$17:$W$18,6,TRUE)</f>
        <v>#N/A</v>
      </c>
      <c r="BB26" s="81" t="e">
        <f t="shared" si="26"/>
        <v>#N/A</v>
      </c>
      <c r="BC26" s="81" t="e">
        <f>VLOOKUP($W26,胸囲データ!$R$10:$W$11,3,TRUE)*$W26^3+VLOOKUP($W26,胸囲データ!$R$10:$W$11,4,TRUE)*$W26^2+VLOOKUP($W26,胸囲データ!$R$10:$W$11,5,TRUE)*$W26+VLOOKUP($W26,胸囲データ!$R$10:$W$11,6,TRUE)</f>
        <v>#N/A</v>
      </c>
      <c r="BD26" s="81" t="e">
        <f>VLOOKUP($W26,胸囲データ!$R$12:$W$16,3,TRUE)*$W26^3+VLOOKUP($W26,胸囲データ!$R$12:$W$16,4,TRUE)*$W26^2+VLOOKUP($W26,胸囲データ!$R$12:$W$16,5,TRUE)*$W26+VLOOKUP($W26,胸囲データ!$R$12:$W$16,6,TRUE)</f>
        <v>#N/A</v>
      </c>
      <c r="BE26" s="81" t="e">
        <f>VLOOKUP($W26,胸囲データ!$R$17:$W$18,3,TRUE)*$W26^3+VLOOKUP($W26,胸囲データ!$R$17:$W$18,4,TRUE)*$W26^2+VLOOKUP($W26,胸囲データ!$R$17:$W$18,5,TRUE)*$W26+VLOOKUP($W26,胸囲データ!$R$17:$W$18,6,TRUE)</f>
        <v>#N/A</v>
      </c>
    </row>
    <row r="27" spans="1:57" x14ac:dyDescent="0.15">
      <c r="A27" s="35"/>
      <c r="B27" s="36"/>
      <c r="C27" s="36"/>
      <c r="D27" s="49"/>
      <c r="E27" s="76"/>
      <c r="F27" s="51" t="str">
        <f t="shared" si="29"/>
        <v/>
      </c>
      <c r="G27" s="37" t="str">
        <f t="shared" si="0"/>
        <v/>
      </c>
      <c r="H27" s="38" t="str">
        <f>IF(ISERROR(W27),"",VLOOKUP(W27,成長曲線_データ!$D$4:$AC$214,3,TRUE))</f>
        <v/>
      </c>
      <c r="I27" s="39" t="str">
        <f t="shared" si="1"/>
        <v/>
      </c>
      <c r="J27" s="39" t="str">
        <f t="shared" si="2"/>
        <v/>
      </c>
      <c r="K27" s="39" t="str">
        <f t="shared" si="3"/>
        <v/>
      </c>
      <c r="L27" s="39" t="str">
        <f t="shared" si="4"/>
        <v/>
      </c>
      <c r="M27" s="39" t="str">
        <f t="shared" si="27"/>
        <v/>
      </c>
      <c r="N27" s="39" t="str">
        <f t="shared" si="5"/>
        <v/>
      </c>
      <c r="O27" s="40" t="str">
        <f t="shared" si="6"/>
        <v/>
      </c>
      <c r="P27" s="40" t="str">
        <f t="shared" si="7"/>
        <v/>
      </c>
      <c r="Q27" s="39" t="str">
        <f t="shared" si="8"/>
        <v/>
      </c>
      <c r="R27" s="39" t="str">
        <f t="shared" si="9"/>
        <v/>
      </c>
      <c r="S27" s="39" t="str">
        <f t="shared" si="10"/>
        <v/>
      </c>
      <c r="T27" s="41" t="str">
        <f t="shared" si="11"/>
        <v/>
      </c>
      <c r="V27" s="90"/>
      <c r="W27" s="79" t="e">
        <f t="shared" si="31"/>
        <v>#N/A</v>
      </c>
      <c r="X27" s="79" t="e">
        <f t="shared" si="12"/>
        <v>#N/A</v>
      </c>
      <c r="Y27" s="80" t="e">
        <f>IF(W27="","",VLOOKUP(W27,成長曲線_データ!$D$4:$AC$214,4,TRUE))</f>
        <v>#N/A</v>
      </c>
      <c r="Z27" s="80" t="e">
        <f>IF(W27="","",VLOOKUP(W27,成長曲線_データ!$D$4:$AC$214,12,TRUE))</f>
        <v>#N/A</v>
      </c>
      <c r="AA27" s="81" t="e">
        <f>IF(W27="","",VLOOKUP(W27,成長曲線_データ!$D$4:$AC$214,13,TRUE))</f>
        <v>#N/A</v>
      </c>
      <c r="AB27" s="94" t="e">
        <f t="shared" si="13"/>
        <v>#N/A</v>
      </c>
      <c r="AC27" s="82" t="e">
        <f>IF(W27&lt;0.5,NA(),VLOOKUP((W27+1/8),成長曲線_データ!$V$4:$AA$73,2,TRUE))</f>
        <v>#N/A</v>
      </c>
      <c r="AD27" s="82" t="e">
        <f>IF(W27&lt;1,NA(),VLOOKUP(W27,成長曲線_データ!$V$4:$AA$73,3,TRUE))</f>
        <v>#N/A</v>
      </c>
      <c r="AE27" s="82" t="e">
        <f>IF(W27&lt;=6.5,VLOOKUP(W27,頭囲データ!$C$10:$E$85,2,TRUE),NA())</f>
        <v>#N/A</v>
      </c>
      <c r="AF27" s="82" t="e">
        <f>IF(W27&lt;=6.5,VLOOKUP(W27,頭囲データ!$C$10:$E$85,3,TRUE),NA())</f>
        <v>#N/A</v>
      </c>
      <c r="AG27" s="89" t="str">
        <f>入力!F27&amp;"y"&amp;入力!G27&amp;"m"</f>
        <v>ym</v>
      </c>
      <c r="AH27" s="89" t="e">
        <f>IF(AND(入力!W27&gt;=1,入力!W27&lt;6,入力!B27&gt;=70,入力!B27&lt;=120),入力!B27,NA())</f>
        <v>#N/A</v>
      </c>
      <c r="AI27" s="89" t="e">
        <f>IF(AND(入力!W27&gt;=1,入力!W27&lt;6,入力!B27&gt;=70,入力!B27&lt;=120),入力!X27,NA())</f>
        <v>#N/A</v>
      </c>
      <c r="AJ27" s="89" t="e">
        <f>IF(AND(入力!W27&gt;=6,入力!B27&gt;=100,入力!B27&lt;=184),入力!B27,NA())</f>
        <v>#N/A</v>
      </c>
      <c r="AK27" s="89" t="e">
        <f>IF(AND(入力!W27&gt;=6,入力!B27&gt;=100,入力!B27&lt;=184),入力!X27,NA())</f>
        <v>#N/A</v>
      </c>
      <c r="AL27" s="82" t="e">
        <f t="shared" si="14"/>
        <v>#N/A</v>
      </c>
      <c r="AM27" s="82"/>
      <c r="AN27" s="80" t="e">
        <f t="shared" si="15"/>
        <v>#N/A</v>
      </c>
      <c r="AO27" s="80" t="e">
        <f t="shared" si="16"/>
        <v>#N/A</v>
      </c>
      <c r="AP27" s="81" t="e">
        <f t="shared" si="17"/>
        <v>#N/A</v>
      </c>
      <c r="AQ27" s="81" t="e">
        <f t="shared" si="18"/>
        <v>#VALUE!</v>
      </c>
      <c r="AR27" s="81" t="e">
        <f t="shared" si="19"/>
        <v>#N/A</v>
      </c>
      <c r="AS27" s="81" t="e">
        <f t="shared" si="20"/>
        <v>#N/A</v>
      </c>
      <c r="AT27" s="81" t="e">
        <f t="shared" si="21"/>
        <v>#N/A</v>
      </c>
      <c r="AU27" s="81" t="e">
        <f t="shared" si="22"/>
        <v>#N/A</v>
      </c>
      <c r="AV27" s="81" t="e">
        <f t="shared" si="23"/>
        <v>#N/A</v>
      </c>
      <c r="AW27" s="81" t="e">
        <f t="shared" si="24"/>
        <v>#N/A</v>
      </c>
      <c r="AX27" s="81" t="e">
        <f t="shared" si="25"/>
        <v>#N/A</v>
      </c>
      <c r="AY27" s="81" t="e">
        <f>VLOOKUP($W27,頭囲データ!$R$10:$W$11,3,TRUE)*$W27^3+VLOOKUP($W27,頭囲データ!$R$10:$W$11,4,TRUE)*$W27^2+VLOOKUP($W27,頭囲データ!$R$10:$W$11,5,TRUE)*$W27+VLOOKUP($W27,頭囲データ!$R$10:$W$11,6,TRUE)</f>
        <v>#N/A</v>
      </c>
      <c r="AZ27" s="81" t="e">
        <f>VLOOKUP($W27,頭囲データ!$R$12:$W$16,3,TRUE)*$W27^3+VLOOKUP($W27,頭囲データ!$R$12:$W$16,4,TRUE)*$W27^2+VLOOKUP($W27,頭囲データ!$R$12:$W$16,5,TRUE)*$W27+VLOOKUP($W27,頭囲データ!$R$12:$W$16,6,TRUE)</f>
        <v>#N/A</v>
      </c>
      <c r="BA27" s="81" t="e">
        <f>VLOOKUP($W27,頭囲データ!$R$17:$W$18,3,TRUE)*$W27^3+VLOOKUP($W27,頭囲データ!$R$17:$W$18,4,TRUE)*$W27^2+VLOOKUP($W27,頭囲データ!$R$17:$W$18,5,TRUE)*$W27+VLOOKUP($W27,頭囲データ!$R$17:$W$18,6,TRUE)</f>
        <v>#N/A</v>
      </c>
      <c r="BB27" s="81" t="e">
        <f t="shared" si="26"/>
        <v>#N/A</v>
      </c>
      <c r="BC27" s="81" t="e">
        <f>VLOOKUP($W27,胸囲データ!$R$10:$W$11,3,TRUE)*$W27^3+VLOOKUP($W27,胸囲データ!$R$10:$W$11,4,TRUE)*$W27^2+VLOOKUP($W27,胸囲データ!$R$10:$W$11,5,TRUE)*$W27+VLOOKUP($W27,胸囲データ!$R$10:$W$11,6,TRUE)</f>
        <v>#N/A</v>
      </c>
      <c r="BD27" s="81" t="e">
        <f>VLOOKUP($W27,胸囲データ!$R$12:$W$16,3,TRUE)*$W27^3+VLOOKUP($W27,胸囲データ!$R$12:$W$16,4,TRUE)*$W27^2+VLOOKUP($W27,胸囲データ!$R$12:$W$16,5,TRUE)*$W27+VLOOKUP($W27,胸囲データ!$R$12:$W$16,6,TRUE)</f>
        <v>#N/A</v>
      </c>
      <c r="BE27" s="81" t="e">
        <f>VLOOKUP($W27,胸囲データ!$R$17:$W$18,3,TRUE)*$W27^3+VLOOKUP($W27,胸囲データ!$R$17:$W$18,4,TRUE)*$W27^2+VLOOKUP($W27,胸囲データ!$R$17:$W$18,5,TRUE)*$W27+VLOOKUP($W27,胸囲データ!$R$17:$W$18,6,TRUE)</f>
        <v>#N/A</v>
      </c>
    </row>
    <row r="28" spans="1:57" x14ac:dyDescent="0.15">
      <c r="A28" s="35"/>
      <c r="B28" s="36"/>
      <c r="C28" s="36"/>
      <c r="D28" s="49"/>
      <c r="E28" s="76"/>
      <c r="F28" s="51" t="str">
        <f t="shared" si="29"/>
        <v/>
      </c>
      <c r="G28" s="37" t="str">
        <f t="shared" si="0"/>
        <v/>
      </c>
      <c r="H28" s="38" t="str">
        <f>IF(ISERROR(W28),"",VLOOKUP(W28,成長曲線_データ!$D$4:$AC$214,3,TRUE))</f>
        <v/>
      </c>
      <c r="I28" s="39" t="str">
        <f t="shared" si="1"/>
        <v/>
      </c>
      <c r="J28" s="39" t="str">
        <f t="shared" si="2"/>
        <v/>
      </c>
      <c r="K28" s="39" t="str">
        <f t="shared" si="3"/>
        <v/>
      </c>
      <c r="L28" s="39" t="str">
        <f t="shared" si="4"/>
        <v/>
      </c>
      <c r="M28" s="39" t="str">
        <f t="shared" si="27"/>
        <v/>
      </c>
      <c r="N28" s="39" t="str">
        <f t="shared" si="5"/>
        <v/>
      </c>
      <c r="O28" s="40" t="str">
        <f t="shared" si="6"/>
        <v/>
      </c>
      <c r="P28" s="40" t="str">
        <f t="shared" si="7"/>
        <v/>
      </c>
      <c r="Q28" s="39" t="str">
        <f t="shared" si="8"/>
        <v/>
      </c>
      <c r="R28" s="39" t="str">
        <f t="shared" si="9"/>
        <v/>
      </c>
      <c r="S28" s="39" t="str">
        <f t="shared" si="10"/>
        <v/>
      </c>
      <c r="T28" s="41" t="str">
        <f t="shared" si="11"/>
        <v/>
      </c>
      <c r="V28" s="90"/>
      <c r="W28" s="79" t="e">
        <f t="shared" si="31"/>
        <v>#N/A</v>
      </c>
      <c r="X28" s="79" t="e">
        <f t="shared" si="12"/>
        <v>#N/A</v>
      </c>
      <c r="Y28" s="80" t="e">
        <f>IF(W28="","",VLOOKUP(W28,成長曲線_データ!$D$4:$AC$214,4,TRUE))</f>
        <v>#N/A</v>
      </c>
      <c r="Z28" s="80" t="e">
        <f>IF(W28="","",VLOOKUP(W28,成長曲線_データ!$D$4:$AC$214,12,TRUE))</f>
        <v>#N/A</v>
      </c>
      <c r="AA28" s="81" t="e">
        <f>IF(W28="","",VLOOKUP(W28,成長曲線_データ!$D$4:$AC$214,13,TRUE))</f>
        <v>#N/A</v>
      </c>
      <c r="AB28" s="94" t="e">
        <f t="shared" si="13"/>
        <v>#N/A</v>
      </c>
      <c r="AC28" s="82" t="e">
        <f>IF(W28&lt;0.5,NA(),VLOOKUP((W28+1/8),成長曲線_データ!$V$4:$AA$73,2,TRUE))</f>
        <v>#N/A</v>
      </c>
      <c r="AD28" s="82" t="e">
        <f>IF(W28&lt;1,NA(),VLOOKUP(W28,成長曲線_データ!$V$4:$AA$73,3,TRUE))</f>
        <v>#N/A</v>
      </c>
      <c r="AE28" s="82" t="e">
        <f>IF(W28&lt;=6.5,VLOOKUP(W28,頭囲データ!$C$10:$E$85,2,TRUE),NA())</f>
        <v>#N/A</v>
      </c>
      <c r="AF28" s="82" t="e">
        <f>IF(W28&lt;=6.5,VLOOKUP(W28,頭囲データ!$C$10:$E$85,3,TRUE),NA())</f>
        <v>#N/A</v>
      </c>
      <c r="AG28" s="89" t="str">
        <f>入力!F28&amp;"y"&amp;入力!G28&amp;"m"</f>
        <v>ym</v>
      </c>
      <c r="AH28" s="89" t="e">
        <f>IF(AND(入力!W28&gt;=1,入力!W28&lt;6,入力!B28&gt;=70,入力!B28&lt;=120),入力!B28,NA())</f>
        <v>#N/A</v>
      </c>
      <c r="AI28" s="89" t="e">
        <f>IF(AND(入力!W28&gt;=1,入力!W28&lt;6,入力!B28&gt;=70,入力!B28&lt;=120),入力!X28,NA())</f>
        <v>#N/A</v>
      </c>
      <c r="AJ28" s="89" t="e">
        <f>IF(AND(入力!W28&gt;=6,入力!B28&gt;=100,入力!B28&lt;=184),入力!B28,NA())</f>
        <v>#N/A</v>
      </c>
      <c r="AK28" s="89" t="e">
        <f>IF(AND(入力!W28&gt;=6,入力!B28&gt;=100,入力!B28&lt;=184),入力!X28,NA())</f>
        <v>#N/A</v>
      </c>
      <c r="AL28" s="82" t="e">
        <f t="shared" si="14"/>
        <v>#N/A</v>
      </c>
      <c r="AM28" s="82"/>
      <c r="AN28" s="80" t="e">
        <f t="shared" si="15"/>
        <v>#N/A</v>
      </c>
      <c r="AO28" s="80" t="e">
        <f t="shared" si="16"/>
        <v>#N/A</v>
      </c>
      <c r="AP28" s="81" t="e">
        <f t="shared" si="17"/>
        <v>#N/A</v>
      </c>
      <c r="AQ28" s="81" t="e">
        <f t="shared" si="18"/>
        <v>#VALUE!</v>
      </c>
      <c r="AR28" s="81" t="e">
        <f t="shared" si="19"/>
        <v>#N/A</v>
      </c>
      <c r="AS28" s="81" t="e">
        <f t="shared" si="20"/>
        <v>#N/A</v>
      </c>
      <c r="AT28" s="81" t="e">
        <f t="shared" si="21"/>
        <v>#N/A</v>
      </c>
      <c r="AU28" s="81" t="e">
        <f t="shared" si="22"/>
        <v>#N/A</v>
      </c>
      <c r="AV28" s="81" t="e">
        <f t="shared" si="23"/>
        <v>#N/A</v>
      </c>
      <c r="AW28" s="81" t="e">
        <f t="shared" si="24"/>
        <v>#N/A</v>
      </c>
      <c r="AX28" s="81" t="e">
        <f t="shared" si="25"/>
        <v>#N/A</v>
      </c>
      <c r="AY28" s="81" t="e">
        <f>VLOOKUP($W28,頭囲データ!$R$10:$W$11,3,TRUE)*$W28^3+VLOOKUP($W28,頭囲データ!$R$10:$W$11,4,TRUE)*$W28^2+VLOOKUP($W28,頭囲データ!$R$10:$W$11,5,TRUE)*$W28+VLOOKUP($W28,頭囲データ!$R$10:$W$11,6,TRUE)</f>
        <v>#N/A</v>
      </c>
      <c r="AZ28" s="81" t="e">
        <f>VLOOKUP($W28,頭囲データ!$R$12:$W$16,3,TRUE)*$W28^3+VLOOKUP($W28,頭囲データ!$R$12:$W$16,4,TRUE)*$W28^2+VLOOKUP($W28,頭囲データ!$R$12:$W$16,5,TRUE)*$W28+VLOOKUP($W28,頭囲データ!$R$12:$W$16,6,TRUE)</f>
        <v>#N/A</v>
      </c>
      <c r="BA28" s="81" t="e">
        <f>VLOOKUP($W28,頭囲データ!$R$17:$W$18,3,TRUE)*$W28^3+VLOOKUP($W28,頭囲データ!$R$17:$W$18,4,TRUE)*$W28^2+VLOOKUP($W28,頭囲データ!$R$17:$W$18,5,TRUE)*$W28+VLOOKUP($W28,頭囲データ!$R$17:$W$18,6,TRUE)</f>
        <v>#N/A</v>
      </c>
      <c r="BB28" s="81" t="e">
        <f t="shared" si="26"/>
        <v>#N/A</v>
      </c>
      <c r="BC28" s="81" t="e">
        <f>VLOOKUP($W28,胸囲データ!$R$10:$W$11,3,TRUE)*$W28^3+VLOOKUP($W28,胸囲データ!$R$10:$W$11,4,TRUE)*$W28^2+VLOOKUP($W28,胸囲データ!$R$10:$W$11,5,TRUE)*$W28+VLOOKUP($W28,胸囲データ!$R$10:$W$11,6,TRUE)</f>
        <v>#N/A</v>
      </c>
      <c r="BD28" s="81" t="e">
        <f>VLOOKUP($W28,胸囲データ!$R$12:$W$16,3,TRUE)*$W28^3+VLOOKUP($W28,胸囲データ!$R$12:$W$16,4,TRUE)*$W28^2+VLOOKUP($W28,胸囲データ!$R$12:$W$16,5,TRUE)*$W28+VLOOKUP($W28,胸囲データ!$R$12:$W$16,6,TRUE)</f>
        <v>#N/A</v>
      </c>
      <c r="BE28" s="81" t="e">
        <f>VLOOKUP($W28,胸囲データ!$R$17:$W$18,3,TRUE)*$W28^3+VLOOKUP($W28,胸囲データ!$R$17:$W$18,4,TRUE)*$W28^2+VLOOKUP($W28,胸囲データ!$R$17:$W$18,5,TRUE)*$W28+VLOOKUP($W28,胸囲データ!$R$17:$W$18,6,TRUE)</f>
        <v>#N/A</v>
      </c>
    </row>
    <row r="29" spans="1:57" x14ac:dyDescent="0.15">
      <c r="A29" s="35"/>
      <c r="B29" s="36"/>
      <c r="C29" s="36"/>
      <c r="D29" s="49"/>
      <c r="E29" s="76"/>
      <c r="F29" s="51" t="str">
        <f t="shared" si="29"/>
        <v/>
      </c>
      <c r="G29" s="37" t="str">
        <f t="shared" si="0"/>
        <v/>
      </c>
      <c r="H29" s="38" t="str">
        <f>IF(ISERROR(W29),"",VLOOKUP(W29,成長曲線_データ!$D$4:$AC$214,3,TRUE))</f>
        <v/>
      </c>
      <c r="I29" s="39" t="str">
        <f t="shared" si="1"/>
        <v/>
      </c>
      <c r="J29" s="39" t="str">
        <f t="shared" si="2"/>
        <v/>
      </c>
      <c r="K29" s="39" t="str">
        <f t="shared" si="3"/>
        <v/>
      </c>
      <c r="L29" s="39" t="str">
        <f>IF(OR(ISERROR(AA29),ISNA(X29)),"",(X29-Z29)/AA29)</f>
        <v/>
      </c>
      <c r="M29" s="39" t="str">
        <f t="shared" si="27"/>
        <v/>
      </c>
      <c r="N29" s="39" t="str">
        <f t="shared" si="5"/>
        <v/>
      </c>
      <c r="O29" s="40" t="str">
        <f t="shared" si="6"/>
        <v/>
      </c>
      <c r="P29" s="40" t="str">
        <f t="shared" si="7"/>
        <v/>
      </c>
      <c r="Q29" s="39" t="str">
        <f t="shared" si="8"/>
        <v/>
      </c>
      <c r="R29" s="39" t="str">
        <f t="shared" si="9"/>
        <v/>
      </c>
      <c r="S29" s="39" t="str">
        <f t="shared" si="10"/>
        <v/>
      </c>
      <c r="T29" s="41" t="str">
        <f t="shared" si="11"/>
        <v/>
      </c>
      <c r="V29" s="90"/>
      <c r="W29" s="79" t="e">
        <f t="shared" si="31"/>
        <v>#N/A</v>
      </c>
      <c r="X29" s="79" t="e">
        <f t="shared" si="12"/>
        <v>#N/A</v>
      </c>
      <c r="Y29" s="80" t="e">
        <f>IF(W29="","",VLOOKUP(W29,成長曲線_データ!$D$4:$AC$214,4,TRUE))</f>
        <v>#N/A</v>
      </c>
      <c r="Z29" s="80" t="e">
        <f>IF(W29="","",VLOOKUP(W29,成長曲線_データ!$D$4:$AC$214,12,TRUE))</f>
        <v>#N/A</v>
      </c>
      <c r="AA29" s="81" t="e">
        <f>IF(W29="","",VLOOKUP(W29,成長曲線_データ!$D$4:$AC$214,13,TRUE))</f>
        <v>#N/A</v>
      </c>
      <c r="AB29" s="94" t="e">
        <f t="shared" si="13"/>
        <v>#N/A</v>
      </c>
      <c r="AC29" s="82" t="e">
        <f>IF(W29&lt;0.5,NA(),VLOOKUP((W29+1/8),成長曲線_データ!$V$4:$AA$73,2,TRUE))</f>
        <v>#N/A</v>
      </c>
      <c r="AD29" s="82" t="e">
        <f>IF(W29&lt;1,NA(),VLOOKUP(W29,成長曲線_データ!$V$4:$AA$73,3,TRUE))</f>
        <v>#N/A</v>
      </c>
      <c r="AE29" s="82" t="e">
        <f>IF(W29&lt;=6.5,VLOOKUP(W29,頭囲データ!$C$10:$E$85,2,TRUE),NA())</f>
        <v>#N/A</v>
      </c>
      <c r="AF29" s="82" t="e">
        <f>IF(W29&lt;=6.5,VLOOKUP(W29,頭囲データ!$C$10:$E$85,3,TRUE),NA())</f>
        <v>#N/A</v>
      </c>
      <c r="AG29" s="89" t="str">
        <f>入力!F29&amp;"y"&amp;入力!G29&amp;"m"</f>
        <v>ym</v>
      </c>
      <c r="AH29" s="89" t="e">
        <f>IF(AND(入力!W29&gt;=1,入力!W29&lt;6,入力!B29&gt;=70,入力!B29&lt;=120),入力!B29,NA())</f>
        <v>#N/A</v>
      </c>
      <c r="AI29" s="89" t="e">
        <f>IF(AND(入力!W29&gt;=1,入力!W29&lt;6,入力!B29&gt;=70,入力!B29&lt;=120),入力!X29,NA())</f>
        <v>#N/A</v>
      </c>
      <c r="AJ29" s="89" t="e">
        <f>IF(AND(入力!W29&gt;=6,入力!B29&gt;=100,入力!B29&lt;=184),入力!B29,NA())</f>
        <v>#N/A</v>
      </c>
      <c r="AK29" s="89" t="e">
        <f>IF(AND(入力!W29&gt;=6,入力!B29&gt;=100,入力!B29&lt;=184),入力!X29,NA())</f>
        <v>#N/A</v>
      </c>
      <c r="AL29" s="82" t="e">
        <f t="shared" si="14"/>
        <v>#N/A</v>
      </c>
      <c r="AM29" s="82"/>
      <c r="AN29" s="80" t="e">
        <f t="shared" si="15"/>
        <v>#N/A</v>
      </c>
      <c r="AO29" s="80" t="e">
        <f t="shared" si="16"/>
        <v>#N/A</v>
      </c>
      <c r="AP29" s="81" t="e">
        <f t="shared" si="17"/>
        <v>#N/A</v>
      </c>
      <c r="AQ29" s="81" t="e">
        <f t="shared" si="18"/>
        <v>#VALUE!</v>
      </c>
      <c r="AR29" s="81" t="e">
        <f t="shared" si="19"/>
        <v>#N/A</v>
      </c>
      <c r="AS29" s="81" t="e">
        <f t="shared" si="20"/>
        <v>#N/A</v>
      </c>
      <c r="AT29" s="81" t="e">
        <f t="shared" si="21"/>
        <v>#N/A</v>
      </c>
      <c r="AU29" s="81" t="e">
        <f t="shared" si="22"/>
        <v>#N/A</v>
      </c>
      <c r="AV29" s="81" t="e">
        <f t="shared" si="23"/>
        <v>#N/A</v>
      </c>
      <c r="AW29" s="81" t="e">
        <f t="shared" si="24"/>
        <v>#N/A</v>
      </c>
      <c r="AX29" s="81" t="e">
        <f t="shared" si="25"/>
        <v>#N/A</v>
      </c>
      <c r="AY29" s="81" t="e">
        <f>VLOOKUP($W29,頭囲データ!$R$10:$W$11,3,TRUE)*$W29^3+VLOOKUP($W29,頭囲データ!$R$10:$W$11,4,TRUE)*$W29^2+VLOOKUP($W29,頭囲データ!$R$10:$W$11,5,TRUE)*$W29+VLOOKUP($W29,頭囲データ!$R$10:$W$11,6,TRUE)</f>
        <v>#N/A</v>
      </c>
      <c r="AZ29" s="81" t="e">
        <f>VLOOKUP($W29,頭囲データ!$R$12:$W$16,3,TRUE)*$W29^3+VLOOKUP($W29,頭囲データ!$R$12:$W$16,4,TRUE)*$W29^2+VLOOKUP($W29,頭囲データ!$R$12:$W$16,5,TRUE)*$W29+VLOOKUP($W29,頭囲データ!$R$12:$W$16,6,TRUE)</f>
        <v>#N/A</v>
      </c>
      <c r="BA29" s="81" t="e">
        <f>VLOOKUP($W29,頭囲データ!$R$17:$W$18,3,TRUE)*$W29^3+VLOOKUP($W29,頭囲データ!$R$17:$W$18,4,TRUE)*$W29^2+VLOOKUP($W29,頭囲データ!$R$17:$W$18,5,TRUE)*$W29+VLOOKUP($W29,頭囲データ!$R$17:$W$18,6,TRUE)</f>
        <v>#N/A</v>
      </c>
      <c r="BB29" s="81" t="e">
        <f t="shared" si="26"/>
        <v>#N/A</v>
      </c>
      <c r="BC29" s="81" t="e">
        <f>VLOOKUP($W29,胸囲データ!$R$10:$W$11,3,TRUE)*$W29^3+VLOOKUP($W29,胸囲データ!$R$10:$W$11,4,TRUE)*$W29^2+VLOOKUP($W29,胸囲データ!$R$10:$W$11,5,TRUE)*$W29+VLOOKUP($W29,胸囲データ!$R$10:$W$11,6,TRUE)</f>
        <v>#N/A</v>
      </c>
      <c r="BD29" s="81" t="e">
        <f>VLOOKUP($W29,胸囲データ!$R$12:$W$16,3,TRUE)*$W29^3+VLOOKUP($W29,胸囲データ!$R$12:$W$16,4,TRUE)*$W29^2+VLOOKUP($W29,胸囲データ!$R$12:$W$16,5,TRUE)*$W29+VLOOKUP($W29,胸囲データ!$R$12:$W$16,6,TRUE)</f>
        <v>#N/A</v>
      </c>
      <c r="BE29" s="81" t="e">
        <f>VLOOKUP($W29,胸囲データ!$R$17:$W$18,3,TRUE)*$W29^3+VLOOKUP($W29,胸囲データ!$R$17:$W$18,4,TRUE)*$W29^2+VLOOKUP($W29,胸囲データ!$R$17:$W$18,5,TRUE)*$W29+VLOOKUP($W29,胸囲データ!$R$17:$W$18,6,TRUE)</f>
        <v>#N/A</v>
      </c>
    </row>
    <row r="30" spans="1:57" x14ac:dyDescent="0.15">
      <c r="A30" s="35"/>
      <c r="B30" s="36"/>
      <c r="C30" s="36"/>
      <c r="D30" s="49"/>
      <c r="E30" s="76"/>
      <c r="F30" s="51" t="str">
        <f t="shared" si="29"/>
        <v/>
      </c>
      <c r="G30" s="37" t="str">
        <f t="shared" si="0"/>
        <v/>
      </c>
      <c r="H30" s="38" t="str">
        <f>IF(ISERROR(W30),"",VLOOKUP(W30,成長曲線_データ!$D$4:$AC$214,3,TRUE))</f>
        <v/>
      </c>
      <c r="I30" s="39" t="str">
        <f t="shared" si="1"/>
        <v/>
      </c>
      <c r="J30" s="39" t="str">
        <f t="shared" si="2"/>
        <v/>
      </c>
      <c r="K30" s="39" t="str">
        <f t="shared" si="3"/>
        <v/>
      </c>
      <c r="L30" s="39" t="str">
        <f t="shared" ref="L30:L93" si="32">IF(OR(ISERROR(AA30),ISNA(X30)),"",(X30-Z30)/AA30)</f>
        <v/>
      </c>
      <c r="M30" s="39" t="str">
        <f t="shared" si="27"/>
        <v/>
      </c>
      <c r="N30" s="39" t="str">
        <f t="shared" si="5"/>
        <v/>
      </c>
      <c r="O30" s="40" t="str">
        <f t="shared" si="6"/>
        <v/>
      </c>
      <c r="P30" s="40" t="str">
        <f t="shared" si="7"/>
        <v/>
      </c>
      <c r="Q30" s="39" t="str">
        <f t="shared" si="8"/>
        <v/>
      </c>
      <c r="R30" s="39" t="str">
        <f t="shared" si="9"/>
        <v/>
      </c>
      <c r="S30" s="39" t="str">
        <f t="shared" si="10"/>
        <v/>
      </c>
      <c r="T30" s="41" t="str">
        <f t="shared" si="11"/>
        <v/>
      </c>
      <c r="V30" s="90"/>
      <c r="W30" s="79" t="e">
        <f t="shared" si="31"/>
        <v>#N/A</v>
      </c>
      <c r="X30" s="79" t="e">
        <f t="shared" si="12"/>
        <v>#N/A</v>
      </c>
      <c r="Y30" s="80" t="e">
        <f>IF(W30="","",VLOOKUP(W30,成長曲線_データ!$D$4:$AC$214,4,TRUE))</f>
        <v>#N/A</v>
      </c>
      <c r="Z30" s="80" t="e">
        <f>IF(W30="","",VLOOKUP(W30,成長曲線_データ!$D$4:$AC$214,12,TRUE))</f>
        <v>#N/A</v>
      </c>
      <c r="AA30" s="81" t="e">
        <f>IF(W30="","",VLOOKUP(W30,成長曲線_データ!$D$4:$AC$214,13,TRUE))</f>
        <v>#N/A</v>
      </c>
      <c r="AB30" s="94" t="e">
        <f t="shared" si="13"/>
        <v>#N/A</v>
      </c>
      <c r="AC30" s="82" t="e">
        <f>IF(W30&lt;0.5,NA(),VLOOKUP((W30+1/8),成長曲線_データ!$V$4:$AA$73,2,TRUE))</f>
        <v>#N/A</v>
      </c>
      <c r="AD30" s="82" t="e">
        <f>IF(W30&lt;1,NA(),VLOOKUP(W30,成長曲線_データ!$V$4:$AA$73,3,TRUE))</f>
        <v>#N/A</v>
      </c>
      <c r="AE30" s="82" t="e">
        <f>IF(W30&lt;=6.5,VLOOKUP(W30,頭囲データ!$C$10:$E$85,2,TRUE),NA())</f>
        <v>#N/A</v>
      </c>
      <c r="AF30" s="82" t="e">
        <f>IF(W30&lt;=6.5,VLOOKUP(W30,頭囲データ!$C$10:$E$85,3,TRUE),NA())</f>
        <v>#N/A</v>
      </c>
      <c r="AG30" s="89" t="str">
        <f>入力!F30&amp;"y"&amp;入力!G30&amp;"m"</f>
        <v>ym</v>
      </c>
      <c r="AH30" s="89" t="e">
        <f>IF(AND(入力!W30&gt;=1,入力!W30&lt;6,入力!B30&gt;=70,入力!B30&lt;=120),入力!B30,NA())</f>
        <v>#N/A</v>
      </c>
      <c r="AI30" s="89" t="e">
        <f>IF(AND(入力!W30&gt;=1,入力!W30&lt;6,入力!B30&gt;=70,入力!B30&lt;=120),入力!X30,NA())</f>
        <v>#N/A</v>
      </c>
      <c r="AJ30" s="89" t="e">
        <f>IF(AND(入力!W30&gt;=6,入力!B30&gt;=100,入力!B30&lt;=184),入力!B30,NA())</f>
        <v>#N/A</v>
      </c>
      <c r="AK30" s="89" t="e">
        <f>IF(AND(入力!W30&gt;=6,入力!B30&gt;=100,入力!B30&lt;=184),入力!X30,NA())</f>
        <v>#N/A</v>
      </c>
      <c r="AL30" s="82" t="e">
        <f t="shared" si="14"/>
        <v>#N/A</v>
      </c>
      <c r="AM30" s="82"/>
      <c r="AN30" s="80" t="e">
        <f t="shared" si="15"/>
        <v>#N/A</v>
      </c>
      <c r="AO30" s="80" t="e">
        <f t="shared" si="16"/>
        <v>#N/A</v>
      </c>
      <c r="AP30" s="81" t="e">
        <f t="shared" si="17"/>
        <v>#N/A</v>
      </c>
      <c r="AQ30" s="81" t="e">
        <f t="shared" si="18"/>
        <v>#VALUE!</v>
      </c>
      <c r="AR30" s="81" t="e">
        <f t="shared" si="19"/>
        <v>#N/A</v>
      </c>
      <c r="AS30" s="81" t="e">
        <f t="shared" si="20"/>
        <v>#N/A</v>
      </c>
      <c r="AT30" s="81" t="e">
        <f t="shared" si="21"/>
        <v>#N/A</v>
      </c>
      <c r="AU30" s="81" t="e">
        <f t="shared" si="22"/>
        <v>#N/A</v>
      </c>
      <c r="AV30" s="81" t="e">
        <f t="shared" si="23"/>
        <v>#N/A</v>
      </c>
      <c r="AW30" s="81" t="e">
        <f t="shared" si="24"/>
        <v>#N/A</v>
      </c>
      <c r="AX30" s="81" t="e">
        <f t="shared" si="25"/>
        <v>#N/A</v>
      </c>
      <c r="AY30" s="81" t="e">
        <f>VLOOKUP($W30,頭囲データ!$R$10:$W$11,3,TRUE)*$W30^3+VLOOKUP($W30,頭囲データ!$R$10:$W$11,4,TRUE)*$W30^2+VLOOKUP($W30,頭囲データ!$R$10:$W$11,5,TRUE)*$W30+VLOOKUP($W30,頭囲データ!$R$10:$W$11,6,TRUE)</f>
        <v>#N/A</v>
      </c>
      <c r="AZ30" s="81" t="e">
        <f>VLOOKUP($W30,頭囲データ!$R$12:$W$16,3,TRUE)*$W30^3+VLOOKUP($W30,頭囲データ!$R$12:$W$16,4,TRUE)*$W30^2+VLOOKUP($W30,頭囲データ!$R$12:$W$16,5,TRUE)*$W30+VLOOKUP($W30,頭囲データ!$R$12:$W$16,6,TRUE)</f>
        <v>#N/A</v>
      </c>
      <c r="BA30" s="81" t="e">
        <f>VLOOKUP($W30,頭囲データ!$R$17:$W$18,3,TRUE)*$W30^3+VLOOKUP($W30,頭囲データ!$R$17:$W$18,4,TRUE)*$W30^2+VLOOKUP($W30,頭囲データ!$R$17:$W$18,5,TRUE)*$W30+VLOOKUP($W30,頭囲データ!$R$17:$W$18,6,TRUE)</f>
        <v>#N/A</v>
      </c>
      <c r="BB30" s="81" t="e">
        <f t="shared" si="26"/>
        <v>#N/A</v>
      </c>
      <c r="BC30" s="81" t="e">
        <f>VLOOKUP($W30,胸囲データ!$R$10:$W$11,3,TRUE)*$W30^3+VLOOKUP($W30,胸囲データ!$R$10:$W$11,4,TRUE)*$W30^2+VLOOKUP($W30,胸囲データ!$R$10:$W$11,5,TRUE)*$W30+VLOOKUP($W30,胸囲データ!$R$10:$W$11,6,TRUE)</f>
        <v>#N/A</v>
      </c>
      <c r="BD30" s="81" t="e">
        <f>VLOOKUP($W30,胸囲データ!$R$12:$W$16,3,TRUE)*$W30^3+VLOOKUP($W30,胸囲データ!$R$12:$W$16,4,TRUE)*$W30^2+VLOOKUP($W30,胸囲データ!$R$12:$W$16,5,TRUE)*$W30+VLOOKUP($W30,胸囲データ!$R$12:$W$16,6,TRUE)</f>
        <v>#N/A</v>
      </c>
      <c r="BE30" s="81" t="e">
        <f>VLOOKUP($W30,胸囲データ!$R$17:$W$18,3,TRUE)*$W30^3+VLOOKUP($W30,胸囲データ!$R$17:$W$18,4,TRUE)*$W30^2+VLOOKUP($W30,胸囲データ!$R$17:$W$18,5,TRUE)*$W30+VLOOKUP($W30,胸囲データ!$R$17:$W$18,6,TRUE)</f>
        <v>#N/A</v>
      </c>
    </row>
    <row r="31" spans="1:57" x14ac:dyDescent="0.15">
      <c r="A31" s="35"/>
      <c r="B31" s="36"/>
      <c r="C31" s="36"/>
      <c r="D31" s="49"/>
      <c r="E31" s="76"/>
      <c r="F31" s="51" t="str">
        <f t="shared" si="29"/>
        <v/>
      </c>
      <c r="G31" s="37" t="str">
        <f t="shared" si="0"/>
        <v/>
      </c>
      <c r="H31" s="38" t="str">
        <f>IF(ISERROR(W31),"",VLOOKUP(W31,成長曲線_データ!$D$4:$AC$214,3,TRUE))</f>
        <v/>
      </c>
      <c r="I31" s="39" t="str">
        <f t="shared" si="1"/>
        <v/>
      </c>
      <c r="J31" s="39" t="str">
        <f t="shared" si="2"/>
        <v/>
      </c>
      <c r="K31" s="39" t="str">
        <f t="shared" si="3"/>
        <v/>
      </c>
      <c r="L31" s="39" t="str">
        <f t="shared" si="32"/>
        <v/>
      </c>
      <c r="M31" s="39" t="str">
        <f t="shared" si="27"/>
        <v/>
      </c>
      <c r="N31" s="39" t="str">
        <f t="shared" si="5"/>
        <v/>
      </c>
      <c r="O31" s="40" t="str">
        <f t="shared" si="6"/>
        <v/>
      </c>
      <c r="P31" s="40" t="str">
        <f t="shared" si="7"/>
        <v/>
      </c>
      <c r="Q31" s="39" t="str">
        <f t="shared" si="8"/>
        <v/>
      </c>
      <c r="R31" s="39" t="str">
        <f t="shared" si="9"/>
        <v/>
      </c>
      <c r="S31" s="39" t="str">
        <f t="shared" si="10"/>
        <v/>
      </c>
      <c r="T31" s="41" t="str">
        <f t="shared" si="11"/>
        <v/>
      </c>
      <c r="V31" s="90"/>
      <c r="W31" s="79" t="e">
        <f t="shared" si="30"/>
        <v>#N/A</v>
      </c>
      <c r="X31" s="79" t="e">
        <f t="shared" si="12"/>
        <v>#N/A</v>
      </c>
      <c r="Y31" s="80" t="e">
        <f>IF(W31="","",VLOOKUP(W31,成長曲線_データ!$D$4:$AC$214,4,TRUE))</f>
        <v>#N/A</v>
      </c>
      <c r="Z31" s="80" t="e">
        <f>IF(W31="","",VLOOKUP(W31,成長曲線_データ!$D$4:$AC$214,12,TRUE))</f>
        <v>#N/A</v>
      </c>
      <c r="AA31" s="81" t="e">
        <f>IF(W31="","",VLOOKUP(W31,成長曲線_データ!$D$4:$AC$214,13,TRUE))</f>
        <v>#N/A</v>
      </c>
      <c r="AB31" s="94" t="e">
        <f t="shared" si="13"/>
        <v>#N/A</v>
      </c>
      <c r="AC31" s="82" t="e">
        <f>IF(W31&lt;0.5,NA(),VLOOKUP((W31+1/8),成長曲線_データ!$V$4:$AA$73,2,TRUE))</f>
        <v>#N/A</v>
      </c>
      <c r="AD31" s="82" t="e">
        <f>IF(W31&lt;1,NA(),VLOOKUP(W31,成長曲線_データ!$V$4:$AA$73,3,TRUE))</f>
        <v>#N/A</v>
      </c>
      <c r="AE31" s="82" t="e">
        <f>IF(W31&lt;=6.5,VLOOKUP(W31,頭囲データ!$C$10:$E$85,2,TRUE),NA())</f>
        <v>#N/A</v>
      </c>
      <c r="AF31" s="82" t="e">
        <f>IF(W31&lt;=6.5,VLOOKUP(W31,頭囲データ!$C$10:$E$85,3,TRUE),NA())</f>
        <v>#N/A</v>
      </c>
      <c r="AG31" s="89" t="str">
        <f>入力!F31&amp;"y"&amp;入力!G31&amp;"m"</f>
        <v>ym</v>
      </c>
      <c r="AH31" s="89" t="e">
        <f>IF(AND(入力!W31&gt;=1,入力!W31&lt;6,入力!B31&gt;=70,入力!B31&lt;=120),入力!B31,NA())</f>
        <v>#N/A</v>
      </c>
      <c r="AI31" s="89" t="e">
        <f>IF(AND(入力!W31&gt;=1,入力!W31&lt;6,入力!B31&gt;=70,入力!B31&lt;=120),入力!X31,NA())</f>
        <v>#N/A</v>
      </c>
      <c r="AJ31" s="89" t="e">
        <f>IF(AND(入力!W31&gt;=6,入力!B31&gt;=100,入力!B31&lt;=184),入力!B31,NA())</f>
        <v>#N/A</v>
      </c>
      <c r="AK31" s="89" t="e">
        <f>IF(AND(入力!W31&gt;=6,入力!B31&gt;=100,入力!B31&lt;=184),入力!X31,NA())</f>
        <v>#N/A</v>
      </c>
      <c r="AL31" s="82" t="e">
        <f t="shared" si="14"/>
        <v>#N/A</v>
      </c>
      <c r="AM31" s="82"/>
      <c r="AN31" s="80" t="e">
        <f t="shared" si="15"/>
        <v>#N/A</v>
      </c>
      <c r="AO31" s="80" t="e">
        <f t="shared" si="16"/>
        <v>#N/A</v>
      </c>
      <c r="AP31" s="81" t="e">
        <f t="shared" si="17"/>
        <v>#N/A</v>
      </c>
      <c r="AQ31" s="81" t="e">
        <f t="shared" si="18"/>
        <v>#VALUE!</v>
      </c>
      <c r="AR31" s="81" t="e">
        <f t="shared" si="19"/>
        <v>#N/A</v>
      </c>
      <c r="AS31" s="81" t="e">
        <f t="shared" si="20"/>
        <v>#N/A</v>
      </c>
      <c r="AT31" s="81" t="e">
        <f t="shared" si="21"/>
        <v>#N/A</v>
      </c>
      <c r="AU31" s="81" t="e">
        <f t="shared" si="22"/>
        <v>#N/A</v>
      </c>
      <c r="AV31" s="81" t="e">
        <f t="shared" si="23"/>
        <v>#N/A</v>
      </c>
      <c r="AW31" s="81" t="e">
        <f t="shared" si="24"/>
        <v>#N/A</v>
      </c>
      <c r="AX31" s="81" t="e">
        <f t="shared" si="25"/>
        <v>#N/A</v>
      </c>
      <c r="AY31" s="81" t="e">
        <f>VLOOKUP($W31,頭囲データ!$R$10:$W$11,3,TRUE)*$W31^3+VLOOKUP($W31,頭囲データ!$R$10:$W$11,4,TRUE)*$W31^2+VLOOKUP($W31,頭囲データ!$R$10:$W$11,5,TRUE)*$W31+VLOOKUP($W31,頭囲データ!$R$10:$W$11,6,TRUE)</f>
        <v>#N/A</v>
      </c>
      <c r="AZ31" s="81" t="e">
        <f>VLOOKUP($W31,頭囲データ!$R$12:$W$16,3,TRUE)*$W31^3+VLOOKUP($W31,頭囲データ!$R$12:$W$16,4,TRUE)*$W31^2+VLOOKUP($W31,頭囲データ!$R$12:$W$16,5,TRUE)*$W31+VLOOKUP($W31,頭囲データ!$R$12:$W$16,6,TRUE)</f>
        <v>#N/A</v>
      </c>
      <c r="BA31" s="81" t="e">
        <f>VLOOKUP($W31,頭囲データ!$R$17:$W$18,3,TRUE)*$W31^3+VLOOKUP($W31,頭囲データ!$R$17:$W$18,4,TRUE)*$W31^2+VLOOKUP($W31,頭囲データ!$R$17:$W$18,5,TRUE)*$W31+VLOOKUP($W31,頭囲データ!$R$17:$W$18,6,TRUE)</f>
        <v>#N/A</v>
      </c>
      <c r="BB31" s="81" t="e">
        <f t="shared" si="26"/>
        <v>#N/A</v>
      </c>
      <c r="BC31" s="81" t="e">
        <f>VLOOKUP($W31,胸囲データ!$R$10:$W$11,3,TRUE)*$W31^3+VLOOKUP($W31,胸囲データ!$R$10:$W$11,4,TRUE)*$W31^2+VLOOKUP($W31,胸囲データ!$R$10:$W$11,5,TRUE)*$W31+VLOOKUP($W31,胸囲データ!$R$10:$W$11,6,TRUE)</f>
        <v>#N/A</v>
      </c>
      <c r="BD31" s="81" t="e">
        <f>VLOOKUP($W31,胸囲データ!$R$12:$W$16,3,TRUE)*$W31^3+VLOOKUP($W31,胸囲データ!$R$12:$W$16,4,TRUE)*$W31^2+VLOOKUP($W31,胸囲データ!$R$12:$W$16,5,TRUE)*$W31+VLOOKUP($W31,胸囲データ!$R$12:$W$16,6,TRUE)</f>
        <v>#N/A</v>
      </c>
      <c r="BE31" s="81" t="e">
        <f>VLOOKUP($W31,胸囲データ!$R$17:$W$18,3,TRUE)*$W31^3+VLOOKUP($W31,胸囲データ!$R$17:$W$18,4,TRUE)*$W31^2+VLOOKUP($W31,胸囲データ!$R$17:$W$18,5,TRUE)*$W31+VLOOKUP($W31,胸囲データ!$R$17:$W$18,6,TRUE)</f>
        <v>#N/A</v>
      </c>
    </row>
    <row r="32" spans="1:57" x14ac:dyDescent="0.15">
      <c r="A32" s="35"/>
      <c r="B32" s="36"/>
      <c r="C32" s="36"/>
      <c r="D32" s="49"/>
      <c r="E32" s="76"/>
      <c r="F32" s="51" t="str">
        <f t="shared" si="29"/>
        <v/>
      </c>
      <c r="G32" s="37" t="str">
        <f t="shared" si="0"/>
        <v/>
      </c>
      <c r="H32" s="38" t="str">
        <f>IF(ISERROR(W32),"",VLOOKUP(W32,成長曲線_データ!$D$4:$AC$214,3,TRUE))</f>
        <v/>
      </c>
      <c r="I32" s="39" t="str">
        <f t="shared" si="1"/>
        <v/>
      </c>
      <c r="J32" s="39" t="str">
        <f t="shared" si="2"/>
        <v/>
      </c>
      <c r="K32" s="39" t="str">
        <f t="shared" si="3"/>
        <v/>
      </c>
      <c r="L32" s="39" t="str">
        <f t="shared" si="32"/>
        <v/>
      </c>
      <c r="M32" s="39" t="str">
        <f t="shared" si="27"/>
        <v/>
      </c>
      <c r="N32" s="39" t="str">
        <f t="shared" si="5"/>
        <v/>
      </c>
      <c r="O32" s="40" t="str">
        <f t="shared" si="6"/>
        <v/>
      </c>
      <c r="P32" s="40" t="str">
        <f t="shared" si="7"/>
        <v/>
      </c>
      <c r="Q32" s="39" t="str">
        <f t="shared" si="8"/>
        <v/>
      </c>
      <c r="R32" s="39" t="str">
        <f t="shared" si="9"/>
        <v/>
      </c>
      <c r="S32" s="39" t="str">
        <f t="shared" si="10"/>
        <v/>
      </c>
      <c r="T32" s="41" t="str">
        <f t="shared" si="11"/>
        <v/>
      </c>
      <c r="V32" s="90"/>
      <c r="W32" s="79" t="e">
        <f t="shared" si="30"/>
        <v>#N/A</v>
      </c>
      <c r="X32" s="79" t="e">
        <f t="shared" si="12"/>
        <v>#N/A</v>
      </c>
      <c r="Y32" s="80" t="e">
        <f>IF(W32="","",VLOOKUP(W32,成長曲線_データ!$D$4:$AC$214,4,TRUE))</f>
        <v>#N/A</v>
      </c>
      <c r="Z32" s="80" t="e">
        <f>IF(W32="","",VLOOKUP(W32,成長曲線_データ!$D$4:$AC$214,12,TRUE))</f>
        <v>#N/A</v>
      </c>
      <c r="AA32" s="81" t="e">
        <f>IF(W32="","",VLOOKUP(W32,成長曲線_データ!$D$4:$AC$214,13,TRUE))</f>
        <v>#N/A</v>
      </c>
      <c r="AB32" s="94" t="e">
        <f t="shared" si="13"/>
        <v>#N/A</v>
      </c>
      <c r="AC32" s="82" t="e">
        <f>IF(W32&lt;0.5,NA(),VLOOKUP((W32+1/8),成長曲線_データ!$V$4:$AA$73,2,TRUE))</f>
        <v>#N/A</v>
      </c>
      <c r="AD32" s="82" t="e">
        <f>IF(W32&lt;1,NA(),VLOOKUP(W32,成長曲線_データ!$V$4:$AA$73,3,TRUE))</f>
        <v>#N/A</v>
      </c>
      <c r="AE32" s="82" t="e">
        <f>IF(W32&lt;=6.5,VLOOKUP(W32,頭囲データ!$C$10:$E$85,2,TRUE),NA())</f>
        <v>#N/A</v>
      </c>
      <c r="AF32" s="82" t="e">
        <f>IF(W32&lt;=6.5,VLOOKUP(W32,頭囲データ!$C$10:$E$85,3,TRUE),NA())</f>
        <v>#N/A</v>
      </c>
      <c r="AG32" s="89" t="str">
        <f>入力!F32&amp;"y"&amp;入力!G32&amp;"m"</f>
        <v>ym</v>
      </c>
      <c r="AH32" s="89" t="e">
        <f>IF(AND(入力!W32&gt;=1,入力!W32&lt;6,入力!B32&gt;=70,入力!B32&lt;=120),入力!B32,NA())</f>
        <v>#N/A</v>
      </c>
      <c r="AI32" s="89" t="e">
        <f>IF(AND(入力!W32&gt;=1,入力!W32&lt;6,入力!B32&gt;=70,入力!B32&lt;=120),入力!X32,NA())</f>
        <v>#N/A</v>
      </c>
      <c r="AJ32" s="89" t="e">
        <f>IF(AND(入力!W32&gt;=6,入力!B32&gt;=100,入力!B32&lt;=184),入力!B32,NA())</f>
        <v>#N/A</v>
      </c>
      <c r="AK32" s="89" t="e">
        <f>IF(AND(入力!W32&gt;=6,入力!B32&gt;=100,入力!B32&lt;=184),入力!X32,NA())</f>
        <v>#N/A</v>
      </c>
      <c r="AL32" s="82" t="e">
        <f t="shared" si="14"/>
        <v>#N/A</v>
      </c>
      <c r="AM32" s="82"/>
      <c r="AN32" s="80" t="e">
        <f t="shared" si="15"/>
        <v>#N/A</v>
      </c>
      <c r="AO32" s="80" t="e">
        <f t="shared" si="16"/>
        <v>#N/A</v>
      </c>
      <c r="AP32" s="81" t="e">
        <f t="shared" si="17"/>
        <v>#N/A</v>
      </c>
      <c r="AQ32" s="81" t="e">
        <f t="shared" si="18"/>
        <v>#VALUE!</v>
      </c>
      <c r="AR32" s="81" t="e">
        <f t="shared" si="19"/>
        <v>#N/A</v>
      </c>
      <c r="AS32" s="81" t="e">
        <f t="shared" si="20"/>
        <v>#N/A</v>
      </c>
      <c r="AT32" s="81" t="e">
        <f t="shared" si="21"/>
        <v>#N/A</v>
      </c>
      <c r="AU32" s="81" t="e">
        <f t="shared" si="22"/>
        <v>#N/A</v>
      </c>
      <c r="AV32" s="81" t="e">
        <f t="shared" si="23"/>
        <v>#N/A</v>
      </c>
      <c r="AW32" s="81" t="e">
        <f t="shared" si="24"/>
        <v>#N/A</v>
      </c>
      <c r="AX32" s="81" t="e">
        <f t="shared" si="25"/>
        <v>#N/A</v>
      </c>
      <c r="AY32" s="81" t="e">
        <f>VLOOKUP($W32,頭囲データ!$R$10:$W$11,3,TRUE)*$W32^3+VLOOKUP($W32,頭囲データ!$R$10:$W$11,4,TRUE)*$W32^2+VLOOKUP($W32,頭囲データ!$R$10:$W$11,5,TRUE)*$W32+VLOOKUP($W32,頭囲データ!$R$10:$W$11,6,TRUE)</f>
        <v>#N/A</v>
      </c>
      <c r="AZ32" s="81" t="e">
        <f>VLOOKUP($W32,頭囲データ!$R$12:$W$16,3,TRUE)*$W32^3+VLOOKUP($W32,頭囲データ!$R$12:$W$16,4,TRUE)*$W32^2+VLOOKUP($W32,頭囲データ!$R$12:$W$16,5,TRUE)*$W32+VLOOKUP($W32,頭囲データ!$R$12:$W$16,6,TRUE)</f>
        <v>#N/A</v>
      </c>
      <c r="BA32" s="81" t="e">
        <f>VLOOKUP($W32,頭囲データ!$R$17:$W$18,3,TRUE)*$W32^3+VLOOKUP($W32,頭囲データ!$R$17:$W$18,4,TRUE)*$W32^2+VLOOKUP($W32,頭囲データ!$R$17:$W$18,5,TRUE)*$W32+VLOOKUP($W32,頭囲データ!$R$17:$W$18,6,TRUE)</f>
        <v>#N/A</v>
      </c>
      <c r="BB32" s="81" t="e">
        <f t="shared" si="26"/>
        <v>#N/A</v>
      </c>
      <c r="BC32" s="81" t="e">
        <f>VLOOKUP($W32,胸囲データ!$R$10:$W$11,3,TRUE)*$W32^3+VLOOKUP($W32,胸囲データ!$R$10:$W$11,4,TRUE)*$W32^2+VLOOKUP($W32,胸囲データ!$R$10:$W$11,5,TRUE)*$W32+VLOOKUP($W32,胸囲データ!$R$10:$W$11,6,TRUE)</f>
        <v>#N/A</v>
      </c>
      <c r="BD32" s="81" t="e">
        <f>VLOOKUP($W32,胸囲データ!$R$12:$W$16,3,TRUE)*$W32^3+VLOOKUP($W32,胸囲データ!$R$12:$W$16,4,TRUE)*$W32^2+VLOOKUP($W32,胸囲データ!$R$12:$W$16,5,TRUE)*$W32+VLOOKUP($W32,胸囲データ!$R$12:$W$16,6,TRUE)</f>
        <v>#N/A</v>
      </c>
      <c r="BE32" s="81" t="e">
        <f>VLOOKUP($W32,胸囲データ!$R$17:$W$18,3,TRUE)*$W32^3+VLOOKUP($W32,胸囲データ!$R$17:$W$18,4,TRUE)*$W32^2+VLOOKUP($W32,胸囲データ!$R$17:$W$18,5,TRUE)*$W32+VLOOKUP($W32,胸囲データ!$R$17:$W$18,6,TRUE)</f>
        <v>#N/A</v>
      </c>
    </row>
    <row r="33" spans="1:57" x14ac:dyDescent="0.15">
      <c r="A33" s="35"/>
      <c r="B33" s="36"/>
      <c r="C33" s="36"/>
      <c r="D33" s="49"/>
      <c r="E33" s="76"/>
      <c r="F33" s="51" t="str">
        <f t="shared" si="29"/>
        <v/>
      </c>
      <c r="G33" s="37" t="str">
        <f t="shared" si="0"/>
        <v/>
      </c>
      <c r="H33" s="38" t="str">
        <f>IF(ISERROR(W33),"",VLOOKUP(W33,成長曲線_データ!$D$4:$AC$214,3,TRUE))</f>
        <v/>
      </c>
      <c r="I33" s="39" t="str">
        <f t="shared" si="1"/>
        <v/>
      </c>
      <c r="J33" s="39" t="str">
        <f t="shared" si="2"/>
        <v/>
      </c>
      <c r="K33" s="39" t="str">
        <f t="shared" si="3"/>
        <v/>
      </c>
      <c r="L33" s="39" t="str">
        <f t="shared" si="32"/>
        <v/>
      </c>
      <c r="M33" s="39" t="str">
        <f t="shared" si="27"/>
        <v/>
      </c>
      <c r="N33" s="39" t="str">
        <f t="shared" si="5"/>
        <v/>
      </c>
      <c r="O33" s="40" t="str">
        <f t="shared" si="6"/>
        <v/>
      </c>
      <c r="P33" s="40" t="str">
        <f t="shared" si="7"/>
        <v/>
      </c>
      <c r="Q33" s="39" t="str">
        <f t="shared" si="8"/>
        <v/>
      </c>
      <c r="R33" s="39" t="str">
        <f t="shared" si="9"/>
        <v/>
      </c>
      <c r="S33" s="39" t="str">
        <f t="shared" si="10"/>
        <v/>
      </c>
      <c r="T33" s="41" t="str">
        <f t="shared" si="11"/>
        <v/>
      </c>
      <c r="V33" s="90"/>
      <c r="W33" s="79" t="e">
        <f t="shared" si="30"/>
        <v>#N/A</v>
      </c>
      <c r="X33" s="79" t="e">
        <f t="shared" si="12"/>
        <v>#N/A</v>
      </c>
      <c r="Y33" s="80" t="e">
        <f>IF(W33="","",VLOOKUP(W33,成長曲線_データ!$D$4:$AC$214,4,TRUE))</f>
        <v>#N/A</v>
      </c>
      <c r="Z33" s="80" t="e">
        <f>IF(W33="","",VLOOKUP(W33,成長曲線_データ!$D$4:$AC$214,12,TRUE))</f>
        <v>#N/A</v>
      </c>
      <c r="AA33" s="81" t="e">
        <f>IF(W33="","",VLOOKUP(W33,成長曲線_データ!$D$4:$AC$214,13,TRUE))</f>
        <v>#N/A</v>
      </c>
      <c r="AB33" s="94" t="e">
        <f t="shared" si="13"/>
        <v>#N/A</v>
      </c>
      <c r="AC33" s="82" t="e">
        <f>IF(W33&lt;0.5,NA(),VLOOKUP((W33+1/8),成長曲線_データ!$V$4:$AA$73,2,TRUE))</f>
        <v>#N/A</v>
      </c>
      <c r="AD33" s="82" t="e">
        <f>IF(W33&lt;1,NA(),VLOOKUP(W33,成長曲線_データ!$V$4:$AA$73,3,TRUE))</f>
        <v>#N/A</v>
      </c>
      <c r="AE33" s="82" t="e">
        <f>IF(W33&lt;=6.5,VLOOKUP(W33,頭囲データ!$C$10:$E$85,2,TRUE),NA())</f>
        <v>#N/A</v>
      </c>
      <c r="AF33" s="82" t="e">
        <f>IF(W33&lt;=6.5,VLOOKUP(W33,頭囲データ!$C$10:$E$85,3,TRUE),NA())</f>
        <v>#N/A</v>
      </c>
      <c r="AG33" s="89" t="str">
        <f>入力!F33&amp;"y"&amp;入力!G33&amp;"m"</f>
        <v>ym</v>
      </c>
      <c r="AH33" s="89" t="e">
        <f>IF(AND(入力!W33&gt;=1,入力!W33&lt;6,入力!B33&gt;=70,入力!B33&lt;=120),入力!B33,NA())</f>
        <v>#N/A</v>
      </c>
      <c r="AI33" s="89" t="e">
        <f>IF(AND(入力!W33&gt;=1,入力!W33&lt;6,入力!B33&gt;=70,入力!B33&lt;=120),入力!X33,NA())</f>
        <v>#N/A</v>
      </c>
      <c r="AJ33" s="89" t="e">
        <f>IF(AND(入力!W33&gt;=6,入力!B33&gt;=100,入力!B33&lt;=184),入力!B33,NA())</f>
        <v>#N/A</v>
      </c>
      <c r="AK33" s="89" t="e">
        <f>IF(AND(入力!W33&gt;=6,入力!B33&gt;=100,入力!B33&lt;=184),入力!X33,NA())</f>
        <v>#N/A</v>
      </c>
      <c r="AL33" s="82" t="e">
        <f t="shared" si="14"/>
        <v>#N/A</v>
      </c>
      <c r="AM33" s="82"/>
      <c r="AN33" s="80" t="e">
        <f t="shared" si="15"/>
        <v>#N/A</v>
      </c>
      <c r="AO33" s="80" t="e">
        <f t="shared" si="16"/>
        <v>#N/A</v>
      </c>
      <c r="AP33" s="81" t="e">
        <f t="shared" si="17"/>
        <v>#N/A</v>
      </c>
      <c r="AQ33" s="81" t="e">
        <f t="shared" si="18"/>
        <v>#VALUE!</v>
      </c>
      <c r="AR33" s="81" t="e">
        <f t="shared" si="19"/>
        <v>#N/A</v>
      </c>
      <c r="AS33" s="81" t="e">
        <f t="shared" si="20"/>
        <v>#N/A</v>
      </c>
      <c r="AT33" s="81" t="e">
        <f t="shared" si="21"/>
        <v>#N/A</v>
      </c>
      <c r="AU33" s="81" t="e">
        <f t="shared" si="22"/>
        <v>#N/A</v>
      </c>
      <c r="AV33" s="81" t="e">
        <f t="shared" si="23"/>
        <v>#N/A</v>
      </c>
      <c r="AW33" s="81" t="e">
        <f t="shared" si="24"/>
        <v>#N/A</v>
      </c>
      <c r="AX33" s="81" t="e">
        <f t="shared" si="25"/>
        <v>#N/A</v>
      </c>
      <c r="AY33" s="81" t="e">
        <f>VLOOKUP($W33,頭囲データ!$R$10:$W$11,3,TRUE)*$W33^3+VLOOKUP($W33,頭囲データ!$R$10:$W$11,4,TRUE)*$W33^2+VLOOKUP($W33,頭囲データ!$R$10:$W$11,5,TRUE)*$W33+VLOOKUP($W33,頭囲データ!$R$10:$W$11,6,TRUE)</f>
        <v>#N/A</v>
      </c>
      <c r="AZ33" s="81" t="e">
        <f>VLOOKUP($W33,頭囲データ!$R$12:$W$16,3,TRUE)*$W33^3+VLOOKUP($W33,頭囲データ!$R$12:$W$16,4,TRUE)*$W33^2+VLOOKUP($W33,頭囲データ!$R$12:$W$16,5,TRUE)*$W33+VLOOKUP($W33,頭囲データ!$R$12:$W$16,6,TRUE)</f>
        <v>#N/A</v>
      </c>
      <c r="BA33" s="81" t="e">
        <f>VLOOKUP($W33,頭囲データ!$R$17:$W$18,3,TRUE)*$W33^3+VLOOKUP($W33,頭囲データ!$R$17:$W$18,4,TRUE)*$W33^2+VLOOKUP($W33,頭囲データ!$R$17:$W$18,5,TRUE)*$W33+VLOOKUP($W33,頭囲データ!$R$17:$W$18,6,TRUE)</f>
        <v>#N/A</v>
      </c>
      <c r="BB33" s="81" t="e">
        <f t="shared" si="26"/>
        <v>#N/A</v>
      </c>
      <c r="BC33" s="81" t="e">
        <f>VLOOKUP($W33,胸囲データ!$R$10:$W$11,3,TRUE)*$W33^3+VLOOKUP($W33,胸囲データ!$R$10:$W$11,4,TRUE)*$W33^2+VLOOKUP($W33,胸囲データ!$R$10:$W$11,5,TRUE)*$W33+VLOOKUP($W33,胸囲データ!$R$10:$W$11,6,TRUE)</f>
        <v>#N/A</v>
      </c>
      <c r="BD33" s="81" t="e">
        <f>VLOOKUP($W33,胸囲データ!$R$12:$W$16,3,TRUE)*$W33^3+VLOOKUP($W33,胸囲データ!$R$12:$W$16,4,TRUE)*$W33^2+VLOOKUP($W33,胸囲データ!$R$12:$W$16,5,TRUE)*$W33+VLOOKUP($W33,胸囲データ!$R$12:$W$16,6,TRUE)</f>
        <v>#N/A</v>
      </c>
      <c r="BE33" s="81" t="e">
        <f>VLOOKUP($W33,胸囲データ!$R$17:$W$18,3,TRUE)*$W33^3+VLOOKUP($W33,胸囲データ!$R$17:$W$18,4,TRUE)*$W33^2+VLOOKUP($W33,胸囲データ!$R$17:$W$18,5,TRUE)*$W33+VLOOKUP($W33,胸囲データ!$R$17:$W$18,6,TRUE)</f>
        <v>#N/A</v>
      </c>
    </row>
    <row r="34" spans="1:57" x14ac:dyDescent="0.15">
      <c r="A34" s="35"/>
      <c r="B34" s="36"/>
      <c r="C34" s="36"/>
      <c r="D34" s="49"/>
      <c r="E34" s="76"/>
      <c r="F34" s="51" t="str">
        <f t="shared" si="29"/>
        <v/>
      </c>
      <c r="G34" s="37" t="str">
        <f t="shared" si="0"/>
        <v/>
      </c>
      <c r="H34" s="38" t="str">
        <f>IF(ISERROR(W34),"",VLOOKUP(W34,成長曲線_データ!$D$4:$AC$214,3,TRUE))</f>
        <v/>
      </c>
      <c r="I34" s="39" t="str">
        <f t="shared" si="1"/>
        <v/>
      </c>
      <c r="J34" s="39" t="str">
        <f t="shared" si="2"/>
        <v/>
      </c>
      <c r="K34" s="39" t="str">
        <f t="shared" si="3"/>
        <v/>
      </c>
      <c r="L34" s="39" t="str">
        <f t="shared" si="32"/>
        <v/>
      </c>
      <c r="M34" s="39" t="str">
        <f t="shared" si="27"/>
        <v/>
      </c>
      <c r="N34" s="39" t="str">
        <f t="shared" si="5"/>
        <v/>
      </c>
      <c r="O34" s="40" t="str">
        <f t="shared" si="6"/>
        <v/>
      </c>
      <c r="P34" s="40" t="str">
        <f t="shared" si="7"/>
        <v/>
      </c>
      <c r="Q34" s="39" t="str">
        <f t="shared" si="8"/>
        <v/>
      </c>
      <c r="R34" s="39" t="str">
        <f t="shared" si="9"/>
        <v/>
      </c>
      <c r="S34" s="39" t="str">
        <f t="shared" si="10"/>
        <v/>
      </c>
      <c r="T34" s="41" t="str">
        <f t="shared" si="11"/>
        <v/>
      </c>
      <c r="V34" s="90"/>
      <c r="W34" s="79" t="e">
        <f t="shared" si="30"/>
        <v>#N/A</v>
      </c>
      <c r="X34" s="79" t="e">
        <f t="shared" si="12"/>
        <v>#N/A</v>
      </c>
      <c r="Y34" s="80" t="e">
        <f>IF(W34="","",VLOOKUP(W34,成長曲線_データ!$D$4:$AC$214,4,TRUE))</f>
        <v>#N/A</v>
      </c>
      <c r="Z34" s="80" t="e">
        <f>IF(W34="","",VLOOKUP(W34,成長曲線_データ!$D$4:$AC$214,12,TRUE))</f>
        <v>#N/A</v>
      </c>
      <c r="AA34" s="81" t="e">
        <f>IF(W34="","",VLOOKUP(W34,成長曲線_データ!$D$4:$AC$214,13,TRUE))</f>
        <v>#N/A</v>
      </c>
      <c r="AB34" s="94" t="e">
        <f t="shared" si="13"/>
        <v>#N/A</v>
      </c>
      <c r="AC34" s="82" t="e">
        <f>IF(W34&lt;0.5,NA(),VLOOKUP((W34+1/8),成長曲線_データ!$V$4:$AA$73,2,TRUE))</f>
        <v>#N/A</v>
      </c>
      <c r="AD34" s="82" t="e">
        <f>IF(W34&lt;1,NA(),VLOOKUP(W34,成長曲線_データ!$V$4:$AA$73,3,TRUE))</f>
        <v>#N/A</v>
      </c>
      <c r="AE34" s="82" t="e">
        <f>IF(W34&lt;=6.5,VLOOKUP(W34,頭囲データ!$C$10:$E$85,2,TRUE),NA())</f>
        <v>#N/A</v>
      </c>
      <c r="AF34" s="82" t="e">
        <f>IF(W34&lt;=6.5,VLOOKUP(W34,頭囲データ!$C$10:$E$85,3,TRUE),NA())</f>
        <v>#N/A</v>
      </c>
      <c r="AG34" s="89" t="str">
        <f>入力!F34&amp;"y"&amp;入力!G34&amp;"m"</f>
        <v>ym</v>
      </c>
      <c r="AH34" s="89" t="e">
        <f>IF(AND(入力!W34&gt;=1,入力!W34&lt;6,入力!B34&gt;=70,入力!B34&lt;=120),入力!B34,NA())</f>
        <v>#N/A</v>
      </c>
      <c r="AI34" s="89" t="e">
        <f>IF(AND(入力!W34&gt;=1,入力!W34&lt;6,入力!B34&gt;=70,入力!B34&lt;=120),入力!X34,NA())</f>
        <v>#N/A</v>
      </c>
      <c r="AJ34" s="89" t="e">
        <f>IF(AND(入力!W34&gt;=6,入力!B34&gt;=100,入力!B34&lt;=184),入力!B34,NA())</f>
        <v>#N/A</v>
      </c>
      <c r="AK34" s="89" t="e">
        <f>IF(AND(入力!W34&gt;=6,入力!B34&gt;=100,入力!B34&lt;=184),入力!X34,NA())</f>
        <v>#N/A</v>
      </c>
      <c r="AL34" s="82" t="e">
        <f t="shared" si="14"/>
        <v>#N/A</v>
      </c>
      <c r="AM34" s="82"/>
      <c r="AN34" s="80" t="e">
        <f t="shared" si="15"/>
        <v>#N/A</v>
      </c>
      <c r="AO34" s="80" t="e">
        <f t="shared" si="16"/>
        <v>#N/A</v>
      </c>
      <c r="AP34" s="81" t="e">
        <f t="shared" si="17"/>
        <v>#N/A</v>
      </c>
      <c r="AQ34" s="81" t="e">
        <f t="shared" si="18"/>
        <v>#VALUE!</v>
      </c>
      <c r="AR34" s="81" t="e">
        <f t="shared" si="19"/>
        <v>#N/A</v>
      </c>
      <c r="AS34" s="81" t="e">
        <f t="shared" si="20"/>
        <v>#N/A</v>
      </c>
      <c r="AT34" s="81" t="e">
        <f t="shared" si="21"/>
        <v>#N/A</v>
      </c>
      <c r="AU34" s="81" t="e">
        <f t="shared" si="22"/>
        <v>#N/A</v>
      </c>
      <c r="AV34" s="81" t="e">
        <f t="shared" si="23"/>
        <v>#N/A</v>
      </c>
      <c r="AW34" s="81" t="e">
        <f t="shared" si="24"/>
        <v>#N/A</v>
      </c>
      <c r="AX34" s="81" t="e">
        <f t="shared" si="25"/>
        <v>#N/A</v>
      </c>
      <c r="AY34" s="81" t="e">
        <f>VLOOKUP($W34,頭囲データ!$R$10:$W$11,3,TRUE)*$W34^3+VLOOKUP($W34,頭囲データ!$R$10:$W$11,4,TRUE)*$W34^2+VLOOKUP($W34,頭囲データ!$R$10:$W$11,5,TRUE)*$W34+VLOOKUP($W34,頭囲データ!$R$10:$W$11,6,TRUE)</f>
        <v>#N/A</v>
      </c>
      <c r="AZ34" s="81" t="e">
        <f>VLOOKUP($W34,頭囲データ!$R$12:$W$16,3,TRUE)*$W34^3+VLOOKUP($W34,頭囲データ!$R$12:$W$16,4,TRUE)*$W34^2+VLOOKUP($W34,頭囲データ!$R$12:$W$16,5,TRUE)*$W34+VLOOKUP($W34,頭囲データ!$R$12:$W$16,6,TRUE)</f>
        <v>#N/A</v>
      </c>
      <c r="BA34" s="81" t="e">
        <f>VLOOKUP($W34,頭囲データ!$R$17:$W$18,3,TRUE)*$W34^3+VLOOKUP($W34,頭囲データ!$R$17:$W$18,4,TRUE)*$W34^2+VLOOKUP($W34,頭囲データ!$R$17:$W$18,5,TRUE)*$W34+VLOOKUP($W34,頭囲データ!$R$17:$W$18,6,TRUE)</f>
        <v>#N/A</v>
      </c>
      <c r="BB34" s="81" t="e">
        <f t="shared" si="26"/>
        <v>#N/A</v>
      </c>
      <c r="BC34" s="81" t="e">
        <f>VLOOKUP($W34,胸囲データ!$R$10:$W$11,3,TRUE)*$W34^3+VLOOKUP($W34,胸囲データ!$R$10:$W$11,4,TRUE)*$W34^2+VLOOKUP($W34,胸囲データ!$R$10:$W$11,5,TRUE)*$W34+VLOOKUP($W34,胸囲データ!$R$10:$W$11,6,TRUE)</f>
        <v>#N/A</v>
      </c>
      <c r="BD34" s="81" t="e">
        <f>VLOOKUP($W34,胸囲データ!$R$12:$W$16,3,TRUE)*$W34^3+VLOOKUP($W34,胸囲データ!$R$12:$W$16,4,TRUE)*$W34^2+VLOOKUP($W34,胸囲データ!$R$12:$W$16,5,TRUE)*$W34+VLOOKUP($W34,胸囲データ!$R$12:$W$16,6,TRUE)</f>
        <v>#N/A</v>
      </c>
      <c r="BE34" s="81" t="e">
        <f>VLOOKUP($W34,胸囲データ!$R$17:$W$18,3,TRUE)*$W34^3+VLOOKUP($W34,胸囲データ!$R$17:$W$18,4,TRUE)*$W34^2+VLOOKUP($W34,胸囲データ!$R$17:$W$18,5,TRUE)*$W34+VLOOKUP($W34,胸囲データ!$R$17:$W$18,6,TRUE)</f>
        <v>#N/A</v>
      </c>
    </row>
    <row r="35" spans="1:57" x14ac:dyDescent="0.15">
      <c r="A35" s="35"/>
      <c r="B35" s="36"/>
      <c r="C35" s="36"/>
      <c r="D35" s="49"/>
      <c r="E35" s="76"/>
      <c r="F35" s="51" t="str">
        <f t="shared" si="29"/>
        <v/>
      </c>
      <c r="G35" s="37" t="str">
        <f t="shared" si="0"/>
        <v/>
      </c>
      <c r="H35" s="38" t="str">
        <f>IF(ISERROR(W35),"",VLOOKUP(W35,成長曲線_データ!$D$4:$AC$214,3,TRUE))</f>
        <v/>
      </c>
      <c r="I35" s="39" t="str">
        <f t="shared" si="1"/>
        <v/>
      </c>
      <c r="J35" s="39" t="str">
        <f t="shared" si="2"/>
        <v/>
      </c>
      <c r="K35" s="39" t="str">
        <f t="shared" si="3"/>
        <v/>
      </c>
      <c r="L35" s="39" t="str">
        <f t="shared" si="32"/>
        <v/>
      </c>
      <c r="M35" s="39" t="str">
        <f t="shared" si="27"/>
        <v/>
      </c>
      <c r="N35" s="39" t="str">
        <f t="shared" si="5"/>
        <v/>
      </c>
      <c r="O35" s="40" t="str">
        <f t="shared" si="6"/>
        <v/>
      </c>
      <c r="P35" s="40" t="str">
        <f t="shared" si="7"/>
        <v/>
      </c>
      <c r="Q35" s="39" t="str">
        <f t="shared" si="8"/>
        <v/>
      </c>
      <c r="R35" s="39" t="str">
        <f t="shared" si="9"/>
        <v/>
      </c>
      <c r="S35" s="39" t="str">
        <f t="shared" si="10"/>
        <v/>
      </c>
      <c r="T35" s="41" t="str">
        <f t="shared" si="11"/>
        <v/>
      </c>
      <c r="V35" s="90"/>
      <c r="W35" s="79" t="e">
        <f t="shared" si="30"/>
        <v>#N/A</v>
      </c>
      <c r="X35" s="79" t="e">
        <f t="shared" si="12"/>
        <v>#N/A</v>
      </c>
      <c r="Y35" s="80" t="e">
        <f>IF(W35="","",VLOOKUP(W35,成長曲線_データ!$D$4:$AC$214,4,TRUE))</f>
        <v>#N/A</v>
      </c>
      <c r="Z35" s="80" t="e">
        <f>IF(W35="","",VLOOKUP(W35,成長曲線_データ!$D$4:$AC$214,12,TRUE))</f>
        <v>#N/A</v>
      </c>
      <c r="AA35" s="81" t="e">
        <f>IF(W35="","",VLOOKUP(W35,成長曲線_データ!$D$4:$AC$214,13,TRUE))</f>
        <v>#N/A</v>
      </c>
      <c r="AB35" s="94" t="e">
        <f t="shared" si="13"/>
        <v>#N/A</v>
      </c>
      <c r="AC35" s="82" t="e">
        <f>IF(W35&lt;0.5,NA(),VLOOKUP((W35+1/8),成長曲線_データ!$V$4:$AA$73,2,TRUE))</f>
        <v>#N/A</v>
      </c>
      <c r="AD35" s="82" t="e">
        <f>IF(W35&lt;1,NA(),VLOOKUP(W35,成長曲線_データ!$V$4:$AA$73,3,TRUE))</f>
        <v>#N/A</v>
      </c>
      <c r="AE35" s="82" t="e">
        <f>IF(W35&lt;=6.5,VLOOKUP(W35,頭囲データ!$C$10:$E$85,2,TRUE),NA())</f>
        <v>#N/A</v>
      </c>
      <c r="AF35" s="82" t="e">
        <f>IF(W35&lt;=6.5,VLOOKUP(W35,頭囲データ!$C$10:$E$85,3,TRUE),NA())</f>
        <v>#N/A</v>
      </c>
      <c r="AG35" s="89" t="str">
        <f>入力!F35&amp;"y"&amp;入力!G35&amp;"m"</f>
        <v>ym</v>
      </c>
      <c r="AH35" s="89" t="e">
        <f>IF(AND(入力!W35&gt;=1,入力!W35&lt;6,入力!B35&gt;=70,入力!B35&lt;=120),入力!B35,NA())</f>
        <v>#N/A</v>
      </c>
      <c r="AI35" s="89" t="e">
        <f>IF(AND(入力!W35&gt;=1,入力!W35&lt;6,入力!B35&gt;=70,入力!B35&lt;=120),入力!X35,NA())</f>
        <v>#N/A</v>
      </c>
      <c r="AJ35" s="89" t="e">
        <f>IF(AND(入力!W35&gt;=6,入力!B35&gt;=100,入力!B35&lt;=184),入力!B35,NA())</f>
        <v>#N/A</v>
      </c>
      <c r="AK35" s="89" t="e">
        <f>IF(AND(入力!W35&gt;=6,入力!B35&gt;=100,入力!B35&lt;=184),入力!X35,NA())</f>
        <v>#N/A</v>
      </c>
      <c r="AL35" s="82" t="e">
        <f t="shared" si="14"/>
        <v>#N/A</v>
      </c>
      <c r="AM35" s="82"/>
      <c r="AN35" s="80" t="e">
        <f t="shared" si="15"/>
        <v>#N/A</v>
      </c>
      <c r="AO35" s="80" t="e">
        <f t="shared" si="16"/>
        <v>#N/A</v>
      </c>
      <c r="AP35" s="81" t="e">
        <f t="shared" si="17"/>
        <v>#N/A</v>
      </c>
      <c r="AQ35" s="81" t="e">
        <f t="shared" si="18"/>
        <v>#VALUE!</v>
      </c>
      <c r="AR35" s="81" t="e">
        <f t="shared" si="19"/>
        <v>#N/A</v>
      </c>
      <c r="AS35" s="81" t="e">
        <f t="shared" si="20"/>
        <v>#N/A</v>
      </c>
      <c r="AT35" s="81" t="e">
        <f t="shared" si="21"/>
        <v>#N/A</v>
      </c>
      <c r="AU35" s="81" t="e">
        <f t="shared" si="22"/>
        <v>#N/A</v>
      </c>
      <c r="AV35" s="81" t="e">
        <f t="shared" si="23"/>
        <v>#N/A</v>
      </c>
      <c r="AW35" s="81" t="e">
        <f t="shared" si="24"/>
        <v>#N/A</v>
      </c>
      <c r="AX35" s="81" t="e">
        <f t="shared" si="25"/>
        <v>#N/A</v>
      </c>
      <c r="AY35" s="81" t="e">
        <f>VLOOKUP($W35,頭囲データ!$R$10:$W$11,3,TRUE)*$W35^3+VLOOKUP($W35,頭囲データ!$R$10:$W$11,4,TRUE)*$W35^2+VLOOKUP($W35,頭囲データ!$R$10:$W$11,5,TRUE)*$W35+VLOOKUP($W35,頭囲データ!$R$10:$W$11,6,TRUE)</f>
        <v>#N/A</v>
      </c>
      <c r="AZ35" s="81" t="e">
        <f>VLOOKUP($W35,頭囲データ!$R$12:$W$16,3,TRUE)*$W35^3+VLOOKUP($W35,頭囲データ!$R$12:$W$16,4,TRUE)*$W35^2+VLOOKUP($W35,頭囲データ!$R$12:$W$16,5,TRUE)*$W35+VLOOKUP($W35,頭囲データ!$R$12:$W$16,6,TRUE)</f>
        <v>#N/A</v>
      </c>
      <c r="BA35" s="81" t="e">
        <f>VLOOKUP($W35,頭囲データ!$R$17:$W$18,3,TRUE)*$W35^3+VLOOKUP($W35,頭囲データ!$R$17:$W$18,4,TRUE)*$W35^2+VLOOKUP($W35,頭囲データ!$R$17:$W$18,5,TRUE)*$W35+VLOOKUP($W35,頭囲データ!$R$17:$W$18,6,TRUE)</f>
        <v>#N/A</v>
      </c>
      <c r="BB35" s="81" t="e">
        <f t="shared" si="26"/>
        <v>#N/A</v>
      </c>
      <c r="BC35" s="81" t="e">
        <f>VLOOKUP($W35,胸囲データ!$R$10:$W$11,3,TRUE)*$W35^3+VLOOKUP($W35,胸囲データ!$R$10:$W$11,4,TRUE)*$W35^2+VLOOKUP($W35,胸囲データ!$R$10:$W$11,5,TRUE)*$W35+VLOOKUP($W35,胸囲データ!$R$10:$W$11,6,TRUE)</f>
        <v>#N/A</v>
      </c>
      <c r="BD35" s="81" t="e">
        <f>VLOOKUP($W35,胸囲データ!$R$12:$W$16,3,TRUE)*$W35^3+VLOOKUP($W35,胸囲データ!$R$12:$W$16,4,TRUE)*$W35^2+VLOOKUP($W35,胸囲データ!$R$12:$W$16,5,TRUE)*$W35+VLOOKUP($W35,胸囲データ!$R$12:$W$16,6,TRUE)</f>
        <v>#N/A</v>
      </c>
      <c r="BE35" s="81" t="e">
        <f>VLOOKUP($W35,胸囲データ!$R$17:$W$18,3,TRUE)*$W35^3+VLOOKUP($W35,胸囲データ!$R$17:$W$18,4,TRUE)*$W35^2+VLOOKUP($W35,胸囲データ!$R$17:$W$18,5,TRUE)*$W35+VLOOKUP($W35,胸囲データ!$R$17:$W$18,6,TRUE)</f>
        <v>#N/A</v>
      </c>
    </row>
    <row r="36" spans="1:57" x14ac:dyDescent="0.15">
      <c r="A36" s="35"/>
      <c r="B36" s="36"/>
      <c r="C36" s="36"/>
      <c r="D36" s="49"/>
      <c r="E36" s="76"/>
      <c r="F36" s="51" t="str">
        <f t="shared" si="29"/>
        <v/>
      </c>
      <c r="G36" s="37" t="str">
        <f t="shared" si="0"/>
        <v/>
      </c>
      <c r="H36" s="38" t="str">
        <f>IF(ISERROR(W36),"",VLOOKUP(W36,成長曲線_データ!$D$4:$AC$214,3,TRUE))</f>
        <v/>
      </c>
      <c r="I36" s="39" t="str">
        <f t="shared" si="1"/>
        <v/>
      </c>
      <c r="J36" s="39" t="str">
        <f t="shared" si="2"/>
        <v/>
      </c>
      <c r="K36" s="39" t="str">
        <f t="shared" si="3"/>
        <v/>
      </c>
      <c r="L36" s="39" t="str">
        <f t="shared" si="32"/>
        <v/>
      </c>
      <c r="M36" s="39" t="str">
        <f t="shared" si="27"/>
        <v/>
      </c>
      <c r="N36" s="39" t="str">
        <f t="shared" si="5"/>
        <v/>
      </c>
      <c r="O36" s="40" t="str">
        <f t="shared" si="6"/>
        <v/>
      </c>
      <c r="P36" s="40" t="str">
        <f t="shared" si="7"/>
        <v/>
      </c>
      <c r="Q36" s="39" t="str">
        <f t="shared" si="8"/>
        <v/>
      </c>
      <c r="R36" s="39" t="str">
        <f t="shared" si="9"/>
        <v/>
      </c>
      <c r="S36" s="39" t="str">
        <f t="shared" si="10"/>
        <v/>
      </c>
      <c r="T36" s="41" t="str">
        <f t="shared" si="11"/>
        <v/>
      </c>
      <c r="V36" s="90"/>
      <c r="W36" s="79" t="e">
        <f t="shared" si="30"/>
        <v>#N/A</v>
      </c>
      <c r="X36" s="79" t="e">
        <f t="shared" si="12"/>
        <v>#N/A</v>
      </c>
      <c r="Y36" s="80" t="e">
        <f>IF(W36="","",VLOOKUP(W36,成長曲線_データ!$D$4:$AC$214,4,TRUE))</f>
        <v>#N/A</v>
      </c>
      <c r="Z36" s="80" t="e">
        <f>IF(W36="","",VLOOKUP(W36,成長曲線_データ!$D$4:$AC$214,12,TRUE))</f>
        <v>#N/A</v>
      </c>
      <c r="AA36" s="81" t="e">
        <f>IF(W36="","",VLOOKUP(W36,成長曲線_データ!$D$4:$AC$214,13,TRUE))</f>
        <v>#N/A</v>
      </c>
      <c r="AB36" s="94" t="e">
        <f t="shared" si="13"/>
        <v>#N/A</v>
      </c>
      <c r="AC36" s="82" t="e">
        <f>IF(W36&lt;0.5,NA(),VLOOKUP((W36+1/8),成長曲線_データ!$V$4:$AA$73,2,TRUE))</f>
        <v>#N/A</v>
      </c>
      <c r="AD36" s="82" t="e">
        <f>IF(W36&lt;1,NA(),VLOOKUP(W36,成長曲線_データ!$V$4:$AA$73,3,TRUE))</f>
        <v>#N/A</v>
      </c>
      <c r="AE36" s="82" t="e">
        <f>IF(W36&lt;=6.5,VLOOKUP(W36,頭囲データ!$C$10:$E$85,2,TRUE),NA())</f>
        <v>#N/A</v>
      </c>
      <c r="AF36" s="82" t="e">
        <f>IF(W36&lt;=6.5,VLOOKUP(W36,頭囲データ!$C$10:$E$85,3,TRUE),NA())</f>
        <v>#N/A</v>
      </c>
      <c r="AG36" s="89" t="str">
        <f>入力!F36&amp;"y"&amp;入力!G36&amp;"m"</f>
        <v>ym</v>
      </c>
      <c r="AH36" s="89" t="e">
        <f>IF(AND(入力!W36&gt;=1,入力!W36&lt;6,入力!B36&gt;=70,入力!B36&lt;=120),入力!B36,NA())</f>
        <v>#N/A</v>
      </c>
      <c r="AI36" s="89" t="e">
        <f>IF(AND(入力!W36&gt;=1,入力!W36&lt;6,入力!B36&gt;=70,入力!B36&lt;=120),入力!X36,NA())</f>
        <v>#N/A</v>
      </c>
      <c r="AJ36" s="89" t="e">
        <f>IF(AND(入力!W36&gt;=6,入力!B36&gt;=100,入力!B36&lt;=184),入力!B36,NA())</f>
        <v>#N/A</v>
      </c>
      <c r="AK36" s="89" t="e">
        <f>IF(AND(入力!W36&gt;=6,入力!B36&gt;=100,入力!B36&lt;=184),入力!X36,NA())</f>
        <v>#N/A</v>
      </c>
      <c r="AL36" s="82" t="e">
        <f t="shared" si="14"/>
        <v>#N/A</v>
      </c>
      <c r="AM36" s="82"/>
      <c r="AN36" s="80" t="e">
        <f t="shared" si="15"/>
        <v>#N/A</v>
      </c>
      <c r="AO36" s="80" t="e">
        <f t="shared" si="16"/>
        <v>#N/A</v>
      </c>
      <c r="AP36" s="81" t="e">
        <f t="shared" si="17"/>
        <v>#N/A</v>
      </c>
      <c r="AQ36" s="81" t="e">
        <f t="shared" si="18"/>
        <v>#VALUE!</v>
      </c>
      <c r="AR36" s="81" t="e">
        <f t="shared" si="19"/>
        <v>#N/A</v>
      </c>
      <c r="AS36" s="81" t="e">
        <f t="shared" si="20"/>
        <v>#N/A</v>
      </c>
      <c r="AT36" s="81" t="e">
        <f t="shared" si="21"/>
        <v>#N/A</v>
      </c>
      <c r="AU36" s="81" t="e">
        <f t="shared" si="22"/>
        <v>#N/A</v>
      </c>
      <c r="AV36" s="81" t="e">
        <f t="shared" si="23"/>
        <v>#N/A</v>
      </c>
      <c r="AW36" s="81" t="e">
        <f t="shared" si="24"/>
        <v>#N/A</v>
      </c>
      <c r="AX36" s="81" t="e">
        <f t="shared" si="25"/>
        <v>#N/A</v>
      </c>
      <c r="AY36" s="81" t="e">
        <f>VLOOKUP($W36,頭囲データ!$R$10:$W$11,3,TRUE)*$W36^3+VLOOKUP($W36,頭囲データ!$R$10:$W$11,4,TRUE)*$W36^2+VLOOKUP($W36,頭囲データ!$R$10:$W$11,5,TRUE)*$W36+VLOOKUP($W36,頭囲データ!$R$10:$W$11,6,TRUE)</f>
        <v>#N/A</v>
      </c>
      <c r="AZ36" s="81" t="e">
        <f>VLOOKUP($W36,頭囲データ!$R$12:$W$16,3,TRUE)*$W36^3+VLOOKUP($W36,頭囲データ!$R$12:$W$16,4,TRUE)*$W36^2+VLOOKUP($W36,頭囲データ!$R$12:$W$16,5,TRUE)*$W36+VLOOKUP($W36,頭囲データ!$R$12:$W$16,6,TRUE)</f>
        <v>#N/A</v>
      </c>
      <c r="BA36" s="81" t="e">
        <f>VLOOKUP($W36,頭囲データ!$R$17:$W$18,3,TRUE)*$W36^3+VLOOKUP($W36,頭囲データ!$R$17:$W$18,4,TRUE)*$W36^2+VLOOKUP($W36,頭囲データ!$R$17:$W$18,5,TRUE)*$W36+VLOOKUP($W36,頭囲データ!$R$17:$W$18,6,TRUE)</f>
        <v>#N/A</v>
      </c>
      <c r="BB36" s="81" t="e">
        <f t="shared" si="26"/>
        <v>#N/A</v>
      </c>
      <c r="BC36" s="81" t="e">
        <f>VLOOKUP($W36,胸囲データ!$R$10:$W$11,3,TRUE)*$W36^3+VLOOKUP($W36,胸囲データ!$R$10:$W$11,4,TRUE)*$W36^2+VLOOKUP($W36,胸囲データ!$R$10:$W$11,5,TRUE)*$W36+VLOOKUP($W36,胸囲データ!$R$10:$W$11,6,TRUE)</f>
        <v>#N/A</v>
      </c>
      <c r="BD36" s="81" t="e">
        <f>VLOOKUP($W36,胸囲データ!$R$12:$W$16,3,TRUE)*$W36^3+VLOOKUP($W36,胸囲データ!$R$12:$W$16,4,TRUE)*$W36^2+VLOOKUP($W36,胸囲データ!$R$12:$W$16,5,TRUE)*$W36+VLOOKUP($W36,胸囲データ!$R$12:$W$16,6,TRUE)</f>
        <v>#N/A</v>
      </c>
      <c r="BE36" s="81" t="e">
        <f>VLOOKUP($W36,胸囲データ!$R$17:$W$18,3,TRUE)*$W36^3+VLOOKUP($W36,胸囲データ!$R$17:$W$18,4,TRUE)*$W36^2+VLOOKUP($W36,胸囲データ!$R$17:$W$18,5,TRUE)*$W36+VLOOKUP($W36,胸囲データ!$R$17:$W$18,6,TRUE)</f>
        <v>#N/A</v>
      </c>
    </row>
    <row r="37" spans="1:57" x14ac:dyDescent="0.15">
      <c r="A37" s="35"/>
      <c r="B37" s="36"/>
      <c r="C37" s="36"/>
      <c r="D37" s="49"/>
      <c r="E37" s="76"/>
      <c r="F37" s="51" t="str">
        <f t="shared" si="29"/>
        <v/>
      </c>
      <c r="G37" s="37" t="str">
        <f t="shared" si="0"/>
        <v/>
      </c>
      <c r="H37" s="38" t="str">
        <f>IF(ISERROR(W37),"",VLOOKUP(W37,成長曲線_データ!$D$4:$AC$214,3,TRUE))</f>
        <v/>
      </c>
      <c r="I37" s="39" t="str">
        <f t="shared" si="1"/>
        <v/>
      </c>
      <c r="J37" s="39" t="str">
        <f t="shared" si="2"/>
        <v/>
      </c>
      <c r="K37" s="39" t="str">
        <f t="shared" si="3"/>
        <v/>
      </c>
      <c r="L37" s="39" t="str">
        <f t="shared" si="32"/>
        <v/>
      </c>
      <c r="M37" s="39" t="str">
        <f t="shared" si="27"/>
        <v/>
      </c>
      <c r="N37" s="39" t="str">
        <f t="shared" si="5"/>
        <v/>
      </c>
      <c r="O37" s="40" t="str">
        <f t="shared" si="6"/>
        <v/>
      </c>
      <c r="P37" s="40" t="str">
        <f t="shared" si="7"/>
        <v/>
      </c>
      <c r="Q37" s="39" t="str">
        <f t="shared" si="8"/>
        <v/>
      </c>
      <c r="R37" s="39" t="str">
        <f t="shared" si="9"/>
        <v/>
      </c>
      <c r="S37" s="39" t="str">
        <f t="shared" si="10"/>
        <v/>
      </c>
      <c r="T37" s="41" t="str">
        <f t="shared" si="11"/>
        <v/>
      </c>
      <c r="V37" s="90"/>
      <c r="W37" s="79" t="e">
        <f t="shared" si="30"/>
        <v>#N/A</v>
      </c>
      <c r="X37" s="79" t="e">
        <f t="shared" si="12"/>
        <v>#N/A</v>
      </c>
      <c r="Y37" s="80" t="e">
        <f>IF(W37="","",VLOOKUP(W37,成長曲線_データ!$D$4:$AC$214,4,TRUE))</f>
        <v>#N/A</v>
      </c>
      <c r="Z37" s="80" t="e">
        <f>IF(W37="","",VLOOKUP(W37,成長曲線_データ!$D$4:$AC$214,12,TRUE))</f>
        <v>#N/A</v>
      </c>
      <c r="AA37" s="81" t="e">
        <f>IF(W37="","",VLOOKUP(W37,成長曲線_データ!$D$4:$AC$214,13,TRUE))</f>
        <v>#N/A</v>
      </c>
      <c r="AB37" s="94" t="e">
        <f t="shared" si="13"/>
        <v>#N/A</v>
      </c>
      <c r="AC37" s="82" t="e">
        <f>IF(W37&lt;0.5,NA(),VLOOKUP((W37+1/8),成長曲線_データ!$V$4:$AA$73,2,TRUE))</f>
        <v>#N/A</v>
      </c>
      <c r="AD37" s="82" t="e">
        <f>IF(W37&lt;1,NA(),VLOOKUP(W37,成長曲線_データ!$V$4:$AA$73,3,TRUE))</f>
        <v>#N/A</v>
      </c>
      <c r="AE37" s="82" t="e">
        <f>IF(W37&lt;=6.5,VLOOKUP(W37,頭囲データ!$C$10:$E$85,2,TRUE),NA())</f>
        <v>#N/A</v>
      </c>
      <c r="AF37" s="82" t="e">
        <f>IF(W37&lt;=6.5,VLOOKUP(W37,頭囲データ!$C$10:$E$85,3,TRUE),NA())</f>
        <v>#N/A</v>
      </c>
      <c r="AG37" s="89" t="str">
        <f>入力!F37&amp;"y"&amp;入力!G37&amp;"m"</f>
        <v>ym</v>
      </c>
      <c r="AH37" s="89" t="e">
        <f>IF(AND(入力!W37&gt;=1,入力!W37&lt;6,入力!B37&gt;=70,入力!B37&lt;=120),入力!B37,NA())</f>
        <v>#N/A</v>
      </c>
      <c r="AI37" s="89" t="e">
        <f>IF(AND(入力!W37&gt;=1,入力!W37&lt;6,入力!B37&gt;=70,入力!B37&lt;=120),入力!X37,NA())</f>
        <v>#N/A</v>
      </c>
      <c r="AJ37" s="89" t="e">
        <f>IF(AND(入力!W37&gt;=6,入力!B37&gt;=100,入力!B37&lt;=184),入力!B37,NA())</f>
        <v>#N/A</v>
      </c>
      <c r="AK37" s="89" t="e">
        <f>IF(AND(入力!W37&gt;=6,入力!B37&gt;=100,入力!B37&lt;=184),入力!X37,NA())</f>
        <v>#N/A</v>
      </c>
      <c r="AL37" s="82" t="e">
        <f t="shared" si="14"/>
        <v>#N/A</v>
      </c>
      <c r="AM37" s="82"/>
      <c r="AN37" s="80" t="e">
        <f t="shared" si="15"/>
        <v>#N/A</v>
      </c>
      <c r="AO37" s="80" t="e">
        <f t="shared" si="16"/>
        <v>#N/A</v>
      </c>
      <c r="AP37" s="81" t="e">
        <f t="shared" si="17"/>
        <v>#N/A</v>
      </c>
      <c r="AQ37" s="81" t="e">
        <f t="shared" si="18"/>
        <v>#VALUE!</v>
      </c>
      <c r="AR37" s="81" t="e">
        <f t="shared" si="19"/>
        <v>#N/A</v>
      </c>
      <c r="AS37" s="81" t="e">
        <f t="shared" si="20"/>
        <v>#N/A</v>
      </c>
      <c r="AT37" s="81" t="e">
        <f t="shared" si="21"/>
        <v>#N/A</v>
      </c>
      <c r="AU37" s="81" t="e">
        <f t="shared" si="22"/>
        <v>#N/A</v>
      </c>
      <c r="AV37" s="81" t="e">
        <f t="shared" si="23"/>
        <v>#N/A</v>
      </c>
      <c r="AW37" s="81" t="e">
        <f t="shared" si="24"/>
        <v>#N/A</v>
      </c>
      <c r="AX37" s="81" t="e">
        <f t="shared" si="25"/>
        <v>#N/A</v>
      </c>
      <c r="AY37" s="81" t="e">
        <f>VLOOKUP($W37,頭囲データ!$R$10:$W$11,3,TRUE)*$W37^3+VLOOKUP($W37,頭囲データ!$R$10:$W$11,4,TRUE)*$W37^2+VLOOKUP($W37,頭囲データ!$R$10:$W$11,5,TRUE)*$W37+VLOOKUP($W37,頭囲データ!$R$10:$W$11,6,TRUE)</f>
        <v>#N/A</v>
      </c>
      <c r="AZ37" s="81" t="e">
        <f>VLOOKUP($W37,頭囲データ!$R$12:$W$16,3,TRUE)*$W37^3+VLOOKUP($W37,頭囲データ!$R$12:$W$16,4,TRUE)*$W37^2+VLOOKUP($W37,頭囲データ!$R$12:$W$16,5,TRUE)*$W37+VLOOKUP($W37,頭囲データ!$R$12:$W$16,6,TRUE)</f>
        <v>#N/A</v>
      </c>
      <c r="BA37" s="81" t="e">
        <f>VLOOKUP($W37,頭囲データ!$R$17:$W$18,3,TRUE)*$W37^3+VLOOKUP($W37,頭囲データ!$R$17:$W$18,4,TRUE)*$W37^2+VLOOKUP($W37,頭囲データ!$R$17:$W$18,5,TRUE)*$W37+VLOOKUP($W37,頭囲データ!$R$17:$W$18,6,TRUE)</f>
        <v>#N/A</v>
      </c>
      <c r="BB37" s="81" t="e">
        <f t="shared" si="26"/>
        <v>#N/A</v>
      </c>
      <c r="BC37" s="81" t="e">
        <f>VLOOKUP($W37,胸囲データ!$R$10:$W$11,3,TRUE)*$W37^3+VLOOKUP($W37,胸囲データ!$R$10:$W$11,4,TRUE)*$W37^2+VLOOKUP($W37,胸囲データ!$R$10:$W$11,5,TRUE)*$W37+VLOOKUP($W37,胸囲データ!$R$10:$W$11,6,TRUE)</f>
        <v>#N/A</v>
      </c>
      <c r="BD37" s="81" t="e">
        <f>VLOOKUP($W37,胸囲データ!$R$12:$W$16,3,TRUE)*$W37^3+VLOOKUP($W37,胸囲データ!$R$12:$W$16,4,TRUE)*$W37^2+VLOOKUP($W37,胸囲データ!$R$12:$W$16,5,TRUE)*$W37+VLOOKUP($W37,胸囲データ!$R$12:$W$16,6,TRUE)</f>
        <v>#N/A</v>
      </c>
      <c r="BE37" s="81" t="e">
        <f>VLOOKUP($W37,胸囲データ!$R$17:$W$18,3,TRUE)*$W37^3+VLOOKUP($W37,胸囲データ!$R$17:$W$18,4,TRUE)*$W37^2+VLOOKUP($W37,胸囲データ!$R$17:$W$18,5,TRUE)*$W37+VLOOKUP($W37,胸囲データ!$R$17:$W$18,6,TRUE)</f>
        <v>#N/A</v>
      </c>
    </row>
    <row r="38" spans="1:57" x14ac:dyDescent="0.15">
      <c r="A38" s="35"/>
      <c r="B38" s="36"/>
      <c r="C38" s="36"/>
      <c r="D38" s="49"/>
      <c r="E38" s="76"/>
      <c r="F38" s="51" t="str">
        <f t="shared" si="29"/>
        <v/>
      </c>
      <c r="G38" s="37" t="str">
        <f t="shared" si="0"/>
        <v/>
      </c>
      <c r="H38" s="38" t="str">
        <f>IF(ISERROR(W38),"",VLOOKUP(W38,成長曲線_データ!$D$4:$AC$214,3,TRUE))</f>
        <v/>
      </c>
      <c r="I38" s="39" t="str">
        <f t="shared" si="1"/>
        <v/>
      </c>
      <c r="J38" s="39" t="str">
        <f t="shared" si="2"/>
        <v/>
      </c>
      <c r="K38" s="39" t="str">
        <f t="shared" si="3"/>
        <v/>
      </c>
      <c r="L38" s="39" t="str">
        <f t="shared" si="32"/>
        <v/>
      </c>
      <c r="M38" s="39" t="str">
        <f t="shared" si="27"/>
        <v/>
      </c>
      <c r="N38" s="39" t="str">
        <f t="shared" si="5"/>
        <v/>
      </c>
      <c r="O38" s="40" t="str">
        <f t="shared" si="6"/>
        <v/>
      </c>
      <c r="P38" s="40" t="str">
        <f t="shared" si="7"/>
        <v/>
      </c>
      <c r="Q38" s="39" t="str">
        <f t="shared" si="8"/>
        <v/>
      </c>
      <c r="R38" s="39" t="str">
        <f t="shared" si="9"/>
        <v/>
      </c>
      <c r="S38" s="39" t="str">
        <f t="shared" si="10"/>
        <v/>
      </c>
      <c r="T38" s="41" t="str">
        <f t="shared" si="11"/>
        <v/>
      </c>
      <c r="V38" s="90"/>
      <c r="W38" s="79" t="e">
        <f t="shared" si="30"/>
        <v>#N/A</v>
      </c>
      <c r="X38" s="79" t="e">
        <f t="shared" si="12"/>
        <v>#N/A</v>
      </c>
      <c r="Y38" s="80" t="e">
        <f>IF(W38="","",VLOOKUP(W38,成長曲線_データ!$D$4:$AC$214,4,TRUE))</f>
        <v>#N/A</v>
      </c>
      <c r="Z38" s="80" t="e">
        <f>IF(W38="","",VLOOKUP(W38,成長曲線_データ!$D$4:$AC$214,12,TRUE))</f>
        <v>#N/A</v>
      </c>
      <c r="AA38" s="81" t="e">
        <f>IF(W38="","",VLOOKUP(W38,成長曲線_データ!$D$4:$AC$214,13,TRUE))</f>
        <v>#N/A</v>
      </c>
      <c r="AB38" s="94" t="e">
        <f t="shared" si="13"/>
        <v>#N/A</v>
      </c>
      <c r="AC38" s="82" t="e">
        <f>IF(W38&lt;0.5,NA(),VLOOKUP((W38+1/8),成長曲線_データ!$V$4:$AA$73,2,TRUE))</f>
        <v>#N/A</v>
      </c>
      <c r="AD38" s="82" t="e">
        <f>IF(W38&lt;1,NA(),VLOOKUP(W38,成長曲線_データ!$V$4:$AA$73,3,TRUE))</f>
        <v>#N/A</v>
      </c>
      <c r="AE38" s="82" t="e">
        <f>IF(W38&lt;=6.5,VLOOKUP(W38,頭囲データ!$C$10:$E$85,2,TRUE),NA())</f>
        <v>#N/A</v>
      </c>
      <c r="AF38" s="82" t="e">
        <f>IF(W38&lt;=6.5,VLOOKUP(W38,頭囲データ!$C$10:$E$85,3,TRUE),NA())</f>
        <v>#N/A</v>
      </c>
      <c r="AG38" s="89" t="str">
        <f>入力!F38&amp;"y"&amp;入力!G38&amp;"m"</f>
        <v>ym</v>
      </c>
      <c r="AH38" s="89" t="e">
        <f>IF(AND(入力!W38&gt;=1,入力!W38&lt;6,入力!B38&gt;=70,入力!B38&lt;=120),入力!B38,NA())</f>
        <v>#N/A</v>
      </c>
      <c r="AI38" s="89" t="e">
        <f>IF(AND(入力!W38&gt;=1,入力!W38&lt;6,入力!B38&gt;=70,入力!B38&lt;=120),入力!X38,NA())</f>
        <v>#N/A</v>
      </c>
      <c r="AJ38" s="89" t="e">
        <f>IF(AND(入力!W38&gt;=6,入力!B38&gt;=100,入力!B38&lt;=184),入力!B38,NA())</f>
        <v>#N/A</v>
      </c>
      <c r="AK38" s="89" t="e">
        <f>IF(AND(入力!W38&gt;=6,入力!B38&gt;=100,入力!B38&lt;=184),入力!X38,NA())</f>
        <v>#N/A</v>
      </c>
      <c r="AL38" s="82" t="e">
        <f t="shared" si="14"/>
        <v>#N/A</v>
      </c>
      <c r="AM38" s="82"/>
      <c r="AN38" s="80" t="e">
        <f t="shared" si="15"/>
        <v>#N/A</v>
      </c>
      <c r="AO38" s="80" t="e">
        <f t="shared" si="16"/>
        <v>#N/A</v>
      </c>
      <c r="AP38" s="81" t="e">
        <f t="shared" si="17"/>
        <v>#N/A</v>
      </c>
      <c r="AQ38" s="81" t="e">
        <f t="shared" si="18"/>
        <v>#VALUE!</v>
      </c>
      <c r="AR38" s="81" t="e">
        <f t="shared" si="19"/>
        <v>#N/A</v>
      </c>
      <c r="AS38" s="81" t="e">
        <f t="shared" si="20"/>
        <v>#N/A</v>
      </c>
      <c r="AT38" s="81" t="e">
        <f t="shared" si="21"/>
        <v>#N/A</v>
      </c>
      <c r="AU38" s="81" t="e">
        <f t="shared" si="22"/>
        <v>#N/A</v>
      </c>
      <c r="AV38" s="81" t="e">
        <f t="shared" si="23"/>
        <v>#N/A</v>
      </c>
      <c r="AW38" s="81" t="e">
        <f t="shared" si="24"/>
        <v>#N/A</v>
      </c>
      <c r="AX38" s="81" t="e">
        <f t="shared" si="25"/>
        <v>#N/A</v>
      </c>
      <c r="AY38" s="81" t="e">
        <f>VLOOKUP($W38,頭囲データ!$R$10:$W$11,3,TRUE)*$W38^3+VLOOKUP($W38,頭囲データ!$R$10:$W$11,4,TRUE)*$W38^2+VLOOKUP($W38,頭囲データ!$R$10:$W$11,5,TRUE)*$W38+VLOOKUP($W38,頭囲データ!$R$10:$W$11,6,TRUE)</f>
        <v>#N/A</v>
      </c>
      <c r="AZ38" s="81" t="e">
        <f>VLOOKUP($W38,頭囲データ!$R$12:$W$16,3,TRUE)*$W38^3+VLOOKUP($W38,頭囲データ!$R$12:$W$16,4,TRUE)*$W38^2+VLOOKUP($W38,頭囲データ!$R$12:$W$16,5,TRUE)*$W38+VLOOKUP($W38,頭囲データ!$R$12:$W$16,6,TRUE)</f>
        <v>#N/A</v>
      </c>
      <c r="BA38" s="81" t="e">
        <f>VLOOKUP($W38,頭囲データ!$R$17:$W$18,3,TRUE)*$W38^3+VLOOKUP($W38,頭囲データ!$R$17:$W$18,4,TRUE)*$W38^2+VLOOKUP($W38,頭囲データ!$R$17:$W$18,5,TRUE)*$W38+VLOOKUP($W38,頭囲データ!$R$17:$W$18,6,TRUE)</f>
        <v>#N/A</v>
      </c>
      <c r="BB38" s="81" t="e">
        <f t="shared" si="26"/>
        <v>#N/A</v>
      </c>
      <c r="BC38" s="81" t="e">
        <f>VLOOKUP($W38,胸囲データ!$R$10:$W$11,3,TRUE)*$W38^3+VLOOKUP($W38,胸囲データ!$R$10:$W$11,4,TRUE)*$W38^2+VLOOKUP($W38,胸囲データ!$R$10:$W$11,5,TRUE)*$W38+VLOOKUP($W38,胸囲データ!$R$10:$W$11,6,TRUE)</f>
        <v>#N/A</v>
      </c>
      <c r="BD38" s="81" t="e">
        <f>VLOOKUP($W38,胸囲データ!$R$12:$W$16,3,TRUE)*$W38^3+VLOOKUP($W38,胸囲データ!$R$12:$W$16,4,TRUE)*$W38^2+VLOOKUP($W38,胸囲データ!$R$12:$W$16,5,TRUE)*$W38+VLOOKUP($W38,胸囲データ!$R$12:$W$16,6,TRUE)</f>
        <v>#N/A</v>
      </c>
      <c r="BE38" s="81" t="e">
        <f>VLOOKUP($W38,胸囲データ!$R$17:$W$18,3,TRUE)*$W38^3+VLOOKUP($W38,胸囲データ!$R$17:$W$18,4,TRUE)*$W38^2+VLOOKUP($W38,胸囲データ!$R$17:$W$18,5,TRUE)*$W38+VLOOKUP($W38,胸囲データ!$R$17:$W$18,6,TRUE)</f>
        <v>#N/A</v>
      </c>
    </row>
    <row r="39" spans="1:57" x14ac:dyDescent="0.15">
      <c r="A39" s="35"/>
      <c r="B39" s="36"/>
      <c r="C39" s="36"/>
      <c r="D39" s="49"/>
      <c r="E39" s="76"/>
      <c r="F39" s="51" t="str">
        <f t="shared" si="29"/>
        <v/>
      </c>
      <c r="G39" s="37" t="str">
        <f t="shared" ref="G39:G71" si="33">IF(ISNA($W39),"",INT(($W39-INT($W39))*12))</f>
        <v/>
      </c>
      <c r="H39" s="38" t="str">
        <f>IF(ISERROR(W39),"",VLOOKUP(W39,成長曲線_データ!$D$4:$AC$214,3,TRUE))</f>
        <v/>
      </c>
      <c r="I39" s="39" t="str">
        <f t="shared" ref="I39:I70" si="34">IF(OR(ISERROR(Y39),B39=""),"",(B39-H39)/Y39)</f>
        <v/>
      </c>
      <c r="J39" s="39" t="str">
        <f t="shared" ref="J39:J70" si="35">IF(ISNA(AB39),"",(B39-B38)/(A39-A38)*365.25)</f>
        <v/>
      </c>
      <c r="K39" s="39" t="str">
        <f t="shared" ref="K39:K70" si="36">IF(OR(ISERROR(AD39),J39=""),"",(J39-AC39)/AD39)</f>
        <v/>
      </c>
      <c r="L39" s="39" t="str">
        <f t="shared" si="32"/>
        <v/>
      </c>
      <c r="M39" s="39" t="str">
        <f t="shared" si="27"/>
        <v/>
      </c>
      <c r="N39" s="39" t="str">
        <f t="shared" ref="N39:N71" si="37">IF(ISERROR($BB39),"",$BB39)</f>
        <v/>
      </c>
      <c r="O39" s="40" t="str">
        <f t="shared" ref="O39:O70" si="38">IF(AND(B39&gt;0,ISNUMBER(X39)),10000*X39/B39^2,"")</f>
        <v/>
      </c>
      <c r="P39" s="40" t="str">
        <f t="shared" ref="P39:P70" si="39">IF(OR(ISNA(W39),ISERROR($AQ39)),"",$AQ39)</f>
        <v/>
      </c>
      <c r="Q39" s="39" t="str">
        <f t="shared" si="8"/>
        <v/>
      </c>
      <c r="R39" s="39" t="str">
        <f t="shared" ref="R39:R70" si="40">IF(OR(ISNA($X39),ISNA($AN39)),"",($X39-$Q39)/$Q39*100)</f>
        <v/>
      </c>
      <c r="S39" s="39" t="str">
        <f t="shared" si="10"/>
        <v/>
      </c>
      <c r="T39" s="41" t="str">
        <f t="shared" ref="T39:T70" si="41">IF(OR(ISNA($X39),ISNA($AO39)),"",($X39-$S39)/$S39*100)</f>
        <v/>
      </c>
      <c r="V39" s="90"/>
      <c r="W39" s="79" t="e">
        <f t="shared" ref="W39:W70" si="42">IF(AND($B$3&gt;0,$A39&gt;0,$A39-$B$3&gt;=0),($A39-$B$3)/365.25,NA())</f>
        <v>#N/A</v>
      </c>
      <c r="X39" s="79" t="e">
        <f t="shared" ref="X39:X70" si="43">IF(C39="",NA(),IF(C39&lt;300,C39,C39/1000))</f>
        <v>#N/A</v>
      </c>
      <c r="Y39" s="80" t="e">
        <f>IF(W39="","",VLOOKUP(W39,成長曲線_データ!$D$4:$AC$214,4,TRUE))</f>
        <v>#N/A</v>
      </c>
      <c r="Z39" s="80" t="e">
        <f>IF(W39="","",VLOOKUP(W39,成長曲線_データ!$D$4:$AC$214,12,TRUE))</f>
        <v>#N/A</v>
      </c>
      <c r="AA39" s="81" t="e">
        <f>IF(W39="","",VLOOKUP(W39,成長曲線_データ!$D$4:$AC$214,13,TRUE))</f>
        <v>#N/A</v>
      </c>
      <c r="AB39" s="94" t="e">
        <f t="shared" ref="AB39:AB70" si="44">IF(AND(A38&gt;0,A39&gt;0,B38&gt;0,B39&gt;0),AVERAGE($W39,$W38),NA())</f>
        <v>#N/A</v>
      </c>
      <c r="AC39" s="82" t="e">
        <f>IF(W39&lt;0.5,NA(),VLOOKUP((W39+1/8),成長曲線_データ!$V$4:$AA$73,2,TRUE))</f>
        <v>#N/A</v>
      </c>
      <c r="AD39" s="82" t="e">
        <f>IF(W39&lt;1,NA(),VLOOKUP(W39,成長曲線_データ!$V$4:$AA$73,3,TRUE))</f>
        <v>#N/A</v>
      </c>
      <c r="AE39" s="82" t="e">
        <f>IF(W39&lt;=6.5,VLOOKUP(W39,頭囲データ!$C$10:$E$85,2,TRUE),NA())</f>
        <v>#N/A</v>
      </c>
      <c r="AF39" s="82" t="e">
        <f>IF(W39&lt;=6.5,VLOOKUP(W39,頭囲データ!$C$10:$E$85,3,TRUE),NA())</f>
        <v>#N/A</v>
      </c>
      <c r="AG39" s="89" t="str">
        <f>入力!F39&amp;"y"&amp;入力!G39&amp;"m"</f>
        <v>ym</v>
      </c>
      <c r="AH39" s="89" t="e">
        <f>IF(AND(入力!W39&gt;=1,入力!W39&lt;6,入力!B39&gt;=70,入力!B39&lt;=120),入力!B39,NA())</f>
        <v>#N/A</v>
      </c>
      <c r="AI39" s="89" t="e">
        <f>IF(AND(入力!W39&gt;=1,入力!W39&lt;6,入力!B39&gt;=70,入力!B39&lt;=120),入力!X39,NA())</f>
        <v>#N/A</v>
      </c>
      <c r="AJ39" s="89" t="e">
        <f>IF(AND(入力!W39&gt;=6,入力!B39&gt;=100,入力!B39&lt;=184),入力!B39,NA())</f>
        <v>#N/A</v>
      </c>
      <c r="AK39" s="89" t="e">
        <f>IF(AND(入力!W39&gt;=6,入力!B39&gt;=100,入力!B39&lt;=184),入力!X39,NA())</f>
        <v>#N/A</v>
      </c>
      <c r="AL39" s="82" t="e">
        <f t="shared" ref="AL39:AL70" si="45">IF(W39&lt;=1,W39*12,NA())</f>
        <v>#N/A</v>
      </c>
      <c r="AM39" s="82"/>
      <c r="AN39" s="80" t="e">
        <f t="shared" ref="AN39:AN70" si="46">IF(OR($B39="",ISNA($W39)),NA(),IF(AND($W39&gt;=5,$W39&lt;18),INDEX(IF($B$2="男",muratamale,muratafemale),$F39-4,2)*$B39+INDEX(IF($B$2="男",muratamale,muratafemale),$F39-4,3),NA()))</f>
        <v>#N/A</v>
      </c>
      <c r="AO39" s="80" t="e">
        <f t="shared" ref="AO39:AO70" si="47">IF($W39&lt;6,IF(AND($B39&gt;=70,$B39&lt;120),2,NA()),IF($W39&lt;18,IF($B39&gt;=101,IF($B39&gt;=140,IF($B39&gt;=149,IF($B39&gt;171+IF($B$2="男",1,0)*13,NA(),5),4),3),NA()),NA()))+IF($B$2="男",0,1)*6</f>
        <v>#N/A</v>
      </c>
      <c r="AP39" s="81" t="e">
        <f t="shared" ref="AP39:AP70" si="48">INDEX(ito,$AO39,6)*$B39^3+INDEX(ito,$AO39,7)*$B39^2+INDEX(ito,$AO39,8)*$B39+INDEX(ito,$AO39,9)</f>
        <v>#N/A</v>
      </c>
      <c r="AQ39" s="81" t="e">
        <f t="shared" ref="AQ39:AQ70" si="49">(($O39/$AU39)^$AS39-1)/($AS39*$AW39)</f>
        <v>#VALUE!</v>
      </c>
      <c r="AR39" s="81" t="e">
        <f t="shared" ref="AR39:AR70" si="50">IF($W39*12&lt;150,IF($W39*12&lt;IF($B$2="男",78,69),2,3),4)+IF($B$2="男",0,4)</f>
        <v>#N/A</v>
      </c>
      <c r="AS39" s="81" t="e">
        <f t="shared" ref="AS39:AS70" si="51">INDEX(BMI_L,$AR39,3)*($W39*12)^3+INDEX(BMI_L,$AR39,4)*($W39*12)^2+INDEX(BMI_L,$AR39,5)*($W39*12)+INDEX(BMI_L,$AR39,6)</f>
        <v>#N/A</v>
      </c>
      <c r="AT39" s="81" t="e">
        <f t="shared" ref="AT39:AT70" si="52">IF($W39*12&lt;90,IF($W39*12&lt;26.75,IF($W39*12&lt;9.5,IF($W39*12&lt;2.5,2,3),4),5),6)+IF($B$2="男",0,6)+IF(AND($B$2&lt;&gt;"男",$W39*12&gt;=150),1,0)</f>
        <v>#N/A</v>
      </c>
      <c r="AU39" s="81" t="e">
        <f t="shared" ref="AU39:AU70" si="53">INDEX(BMI_M,$AT39,3)*($W39*12)^3+INDEX(BMI_M,$AT39,4)*($W39*12)^2+INDEX(BMI_M,$AT39,5)*($W39*12)+INDEX(BMI_M,$AT39,6)</f>
        <v>#N/A</v>
      </c>
      <c r="AV39" s="81" t="e">
        <f t="shared" ref="AV39:AV70" si="54">IF($W39*12&lt;90,2,3)+IF($B$2="男",0,3)</f>
        <v>#N/A</v>
      </c>
      <c r="AW39" s="81" t="e">
        <f t="shared" ref="AW39:AW70" si="55">INDEX(BMI_S,$AV39,3)*($W39*12)^3+INDEX(BMI_S,$AV39,4)*($W39*12)^2+INDEX(BMI_S,$AV39,5)*($W39*12)+INDEX(BMI_S,$AV39,6)</f>
        <v>#N/A</v>
      </c>
      <c r="AX39" s="81" t="e">
        <f t="shared" ref="AX39:AX70" si="56">IF(AND(W39&lt;6.5,D39&gt;0),(($D39/$AZ39)^$AY39-1)/($AY39*$BA39),NA())</f>
        <v>#N/A</v>
      </c>
      <c r="AY39" s="81" t="e">
        <f>VLOOKUP($W39,頭囲データ!$R$10:$W$11,3,TRUE)*$W39^3+VLOOKUP($W39,頭囲データ!$R$10:$W$11,4,TRUE)*$W39^2+VLOOKUP($W39,頭囲データ!$R$10:$W$11,5,TRUE)*$W39+VLOOKUP($W39,頭囲データ!$R$10:$W$11,6,TRUE)</f>
        <v>#N/A</v>
      </c>
      <c r="AZ39" s="81" t="e">
        <f>VLOOKUP($W39,頭囲データ!$R$12:$W$16,3,TRUE)*$W39^3+VLOOKUP($W39,頭囲データ!$R$12:$W$16,4,TRUE)*$W39^2+VLOOKUP($W39,頭囲データ!$R$12:$W$16,5,TRUE)*$W39+VLOOKUP($W39,頭囲データ!$R$12:$W$16,6,TRUE)</f>
        <v>#N/A</v>
      </c>
      <c r="BA39" s="81" t="e">
        <f>VLOOKUP($W39,頭囲データ!$R$17:$W$18,3,TRUE)*$W39^3+VLOOKUP($W39,頭囲データ!$R$17:$W$18,4,TRUE)*$W39^2+VLOOKUP($W39,頭囲データ!$R$17:$W$18,5,TRUE)*$W39+VLOOKUP($W39,頭囲データ!$R$17:$W$18,6,TRUE)</f>
        <v>#N/A</v>
      </c>
      <c r="BB39" s="81" t="e">
        <f t="shared" ref="BB39:BB70" si="57">IF(AND(W39&lt;6.5,E39&gt;0),(($E39/$BD39)^$BC39-1)/($BC39*$BE39),NA())</f>
        <v>#N/A</v>
      </c>
      <c r="BC39" s="81" t="e">
        <f>VLOOKUP($W39,胸囲データ!$R$10:$W$11,3,TRUE)*$W39^3+VLOOKUP($W39,胸囲データ!$R$10:$W$11,4,TRUE)*$W39^2+VLOOKUP($W39,胸囲データ!$R$10:$W$11,5,TRUE)*$W39+VLOOKUP($W39,胸囲データ!$R$10:$W$11,6,TRUE)</f>
        <v>#N/A</v>
      </c>
      <c r="BD39" s="81" t="e">
        <f>VLOOKUP($W39,胸囲データ!$R$12:$W$16,3,TRUE)*$W39^3+VLOOKUP($W39,胸囲データ!$R$12:$W$16,4,TRUE)*$W39^2+VLOOKUP($W39,胸囲データ!$R$12:$W$16,5,TRUE)*$W39+VLOOKUP($W39,胸囲データ!$R$12:$W$16,6,TRUE)</f>
        <v>#N/A</v>
      </c>
      <c r="BE39" s="81" t="e">
        <f>VLOOKUP($W39,胸囲データ!$R$17:$W$18,3,TRUE)*$W39^3+VLOOKUP($W39,胸囲データ!$R$17:$W$18,4,TRUE)*$W39^2+VLOOKUP($W39,胸囲データ!$R$17:$W$18,5,TRUE)*$W39+VLOOKUP($W39,胸囲データ!$R$17:$W$18,6,TRUE)</f>
        <v>#N/A</v>
      </c>
    </row>
    <row r="40" spans="1:57" x14ac:dyDescent="0.15">
      <c r="A40" s="35"/>
      <c r="B40" s="36"/>
      <c r="C40" s="36"/>
      <c r="D40" s="49"/>
      <c r="E40" s="76"/>
      <c r="F40" s="51" t="str">
        <f t="shared" si="29"/>
        <v/>
      </c>
      <c r="G40" s="37" t="str">
        <f t="shared" si="33"/>
        <v/>
      </c>
      <c r="H40" s="38" t="str">
        <f>IF(ISERROR(W40),"",VLOOKUP(W40,成長曲線_データ!$D$4:$AC$214,3,TRUE))</f>
        <v/>
      </c>
      <c r="I40" s="39" t="str">
        <f t="shared" si="34"/>
        <v/>
      </c>
      <c r="J40" s="39" t="str">
        <f t="shared" si="35"/>
        <v/>
      </c>
      <c r="K40" s="39" t="str">
        <f t="shared" si="36"/>
        <v/>
      </c>
      <c r="L40" s="39" t="str">
        <f t="shared" si="32"/>
        <v/>
      </c>
      <c r="M40" s="39" t="str">
        <f t="shared" si="27"/>
        <v/>
      </c>
      <c r="N40" s="39" t="str">
        <f t="shared" si="37"/>
        <v/>
      </c>
      <c r="O40" s="40" t="str">
        <f t="shared" si="38"/>
        <v/>
      </c>
      <c r="P40" s="40" t="str">
        <f t="shared" si="39"/>
        <v/>
      </c>
      <c r="Q40" s="39" t="str">
        <f t="shared" si="8"/>
        <v/>
      </c>
      <c r="R40" s="39" t="str">
        <f t="shared" si="40"/>
        <v/>
      </c>
      <c r="S40" s="39" t="str">
        <f t="shared" si="10"/>
        <v/>
      </c>
      <c r="T40" s="41" t="str">
        <f t="shared" si="41"/>
        <v/>
      </c>
      <c r="V40" s="90"/>
      <c r="W40" s="79" t="e">
        <f t="shared" si="42"/>
        <v>#N/A</v>
      </c>
      <c r="X40" s="79" t="e">
        <f t="shared" si="43"/>
        <v>#N/A</v>
      </c>
      <c r="Y40" s="80" t="e">
        <f>IF(W40="","",VLOOKUP(W40,成長曲線_データ!$D$4:$AC$214,4,TRUE))</f>
        <v>#N/A</v>
      </c>
      <c r="Z40" s="80" t="e">
        <f>IF(W40="","",VLOOKUP(W40,成長曲線_データ!$D$4:$AC$214,12,TRUE))</f>
        <v>#N/A</v>
      </c>
      <c r="AA40" s="81" t="e">
        <f>IF(W40="","",VLOOKUP(W40,成長曲線_データ!$D$4:$AC$214,13,TRUE))</f>
        <v>#N/A</v>
      </c>
      <c r="AB40" s="94" t="e">
        <f t="shared" si="44"/>
        <v>#N/A</v>
      </c>
      <c r="AC40" s="82" t="e">
        <f>IF(W40&lt;0.5,NA(),VLOOKUP((W40+1/8),成長曲線_データ!$V$4:$AA$73,2,TRUE))</f>
        <v>#N/A</v>
      </c>
      <c r="AD40" s="82" t="e">
        <f>IF(W40&lt;1,NA(),VLOOKUP(W40,成長曲線_データ!$V$4:$AA$73,3,TRUE))</f>
        <v>#N/A</v>
      </c>
      <c r="AE40" s="82" t="e">
        <f>IF(W40&lt;=6.5,VLOOKUP(W40,頭囲データ!$C$10:$E$85,2,TRUE),NA())</f>
        <v>#N/A</v>
      </c>
      <c r="AF40" s="82" t="e">
        <f>IF(W40&lt;=6.5,VLOOKUP(W40,頭囲データ!$C$10:$E$85,3,TRUE),NA())</f>
        <v>#N/A</v>
      </c>
      <c r="AG40" s="89" t="str">
        <f>入力!F40&amp;"y"&amp;入力!G40&amp;"m"</f>
        <v>ym</v>
      </c>
      <c r="AH40" s="89" t="e">
        <f>IF(AND(入力!W40&gt;=1,入力!W40&lt;6,入力!B40&gt;=70,入力!B40&lt;=120),入力!B40,NA())</f>
        <v>#N/A</v>
      </c>
      <c r="AI40" s="89" t="e">
        <f>IF(AND(入力!W40&gt;=1,入力!W40&lt;6,入力!B40&gt;=70,入力!B40&lt;=120),入力!X40,NA())</f>
        <v>#N/A</v>
      </c>
      <c r="AJ40" s="89" t="e">
        <f>IF(AND(入力!W40&gt;=6,入力!B40&gt;=100,入力!B40&lt;=184),入力!B40,NA())</f>
        <v>#N/A</v>
      </c>
      <c r="AK40" s="89" t="e">
        <f>IF(AND(入力!W40&gt;=6,入力!B40&gt;=100,入力!B40&lt;=184),入力!X40,NA())</f>
        <v>#N/A</v>
      </c>
      <c r="AL40" s="82" t="e">
        <f t="shared" si="45"/>
        <v>#N/A</v>
      </c>
      <c r="AM40" s="82"/>
      <c r="AN40" s="80" t="e">
        <f t="shared" si="46"/>
        <v>#N/A</v>
      </c>
      <c r="AO40" s="80" t="e">
        <f t="shared" si="47"/>
        <v>#N/A</v>
      </c>
      <c r="AP40" s="81" t="e">
        <f t="shared" si="48"/>
        <v>#N/A</v>
      </c>
      <c r="AQ40" s="81" t="e">
        <f t="shared" si="49"/>
        <v>#VALUE!</v>
      </c>
      <c r="AR40" s="81" t="e">
        <f t="shared" si="50"/>
        <v>#N/A</v>
      </c>
      <c r="AS40" s="81" t="e">
        <f t="shared" si="51"/>
        <v>#N/A</v>
      </c>
      <c r="AT40" s="81" t="e">
        <f t="shared" si="52"/>
        <v>#N/A</v>
      </c>
      <c r="AU40" s="81" t="e">
        <f t="shared" si="53"/>
        <v>#N/A</v>
      </c>
      <c r="AV40" s="81" t="e">
        <f t="shared" si="54"/>
        <v>#N/A</v>
      </c>
      <c r="AW40" s="81" t="e">
        <f t="shared" si="55"/>
        <v>#N/A</v>
      </c>
      <c r="AX40" s="81" t="e">
        <f t="shared" si="56"/>
        <v>#N/A</v>
      </c>
      <c r="AY40" s="81" t="e">
        <f>VLOOKUP($W40,頭囲データ!$R$10:$W$11,3,TRUE)*$W40^3+VLOOKUP($W40,頭囲データ!$R$10:$W$11,4,TRUE)*$W40^2+VLOOKUP($W40,頭囲データ!$R$10:$W$11,5,TRUE)*$W40+VLOOKUP($W40,頭囲データ!$R$10:$W$11,6,TRUE)</f>
        <v>#N/A</v>
      </c>
      <c r="AZ40" s="81" t="e">
        <f>VLOOKUP($W40,頭囲データ!$R$12:$W$16,3,TRUE)*$W40^3+VLOOKUP($W40,頭囲データ!$R$12:$W$16,4,TRUE)*$W40^2+VLOOKUP($W40,頭囲データ!$R$12:$W$16,5,TRUE)*$W40+VLOOKUP($W40,頭囲データ!$R$12:$W$16,6,TRUE)</f>
        <v>#N/A</v>
      </c>
      <c r="BA40" s="81" t="e">
        <f>VLOOKUP($W40,頭囲データ!$R$17:$W$18,3,TRUE)*$W40^3+VLOOKUP($W40,頭囲データ!$R$17:$W$18,4,TRUE)*$W40^2+VLOOKUP($W40,頭囲データ!$R$17:$W$18,5,TRUE)*$W40+VLOOKUP($W40,頭囲データ!$R$17:$W$18,6,TRUE)</f>
        <v>#N/A</v>
      </c>
      <c r="BB40" s="81" t="e">
        <f t="shared" si="57"/>
        <v>#N/A</v>
      </c>
      <c r="BC40" s="81" t="e">
        <f>VLOOKUP($W40,胸囲データ!$R$10:$W$11,3,TRUE)*$W40^3+VLOOKUP($W40,胸囲データ!$R$10:$W$11,4,TRUE)*$W40^2+VLOOKUP($W40,胸囲データ!$R$10:$W$11,5,TRUE)*$W40+VLOOKUP($W40,胸囲データ!$R$10:$W$11,6,TRUE)</f>
        <v>#N/A</v>
      </c>
      <c r="BD40" s="81" t="e">
        <f>VLOOKUP($W40,胸囲データ!$R$12:$W$16,3,TRUE)*$W40^3+VLOOKUP($W40,胸囲データ!$R$12:$W$16,4,TRUE)*$W40^2+VLOOKUP($W40,胸囲データ!$R$12:$W$16,5,TRUE)*$W40+VLOOKUP($W40,胸囲データ!$R$12:$W$16,6,TRUE)</f>
        <v>#N/A</v>
      </c>
      <c r="BE40" s="81" t="e">
        <f>VLOOKUP($W40,胸囲データ!$R$17:$W$18,3,TRUE)*$W40^3+VLOOKUP($W40,胸囲データ!$R$17:$W$18,4,TRUE)*$W40^2+VLOOKUP($W40,胸囲データ!$R$17:$W$18,5,TRUE)*$W40+VLOOKUP($W40,胸囲データ!$R$17:$W$18,6,TRUE)</f>
        <v>#N/A</v>
      </c>
    </row>
    <row r="41" spans="1:57" x14ac:dyDescent="0.15">
      <c r="A41" s="35"/>
      <c r="B41" s="36"/>
      <c r="C41" s="36"/>
      <c r="D41" s="49"/>
      <c r="E41" s="76"/>
      <c r="F41" s="51" t="str">
        <f t="shared" si="29"/>
        <v/>
      </c>
      <c r="G41" s="37" t="str">
        <f t="shared" si="33"/>
        <v/>
      </c>
      <c r="H41" s="38" t="str">
        <f>IF(ISERROR(W41),"",VLOOKUP(W41,成長曲線_データ!$D$4:$AC$214,3,TRUE))</f>
        <v/>
      </c>
      <c r="I41" s="39" t="str">
        <f t="shared" si="34"/>
        <v/>
      </c>
      <c r="J41" s="39" t="str">
        <f t="shared" si="35"/>
        <v/>
      </c>
      <c r="K41" s="39" t="str">
        <f t="shared" si="36"/>
        <v/>
      </c>
      <c r="L41" s="39" t="str">
        <f t="shared" si="32"/>
        <v/>
      </c>
      <c r="M41" s="39" t="str">
        <f t="shared" si="27"/>
        <v/>
      </c>
      <c r="N41" s="39" t="str">
        <f t="shared" si="37"/>
        <v/>
      </c>
      <c r="O41" s="40" t="str">
        <f t="shared" si="38"/>
        <v/>
      </c>
      <c r="P41" s="40" t="str">
        <f t="shared" si="39"/>
        <v/>
      </c>
      <c r="Q41" s="39" t="str">
        <f t="shared" si="8"/>
        <v/>
      </c>
      <c r="R41" s="39" t="str">
        <f t="shared" si="40"/>
        <v/>
      </c>
      <c r="S41" s="39" t="str">
        <f t="shared" si="10"/>
        <v/>
      </c>
      <c r="T41" s="41" t="str">
        <f t="shared" si="41"/>
        <v/>
      </c>
      <c r="V41" s="90"/>
      <c r="W41" s="79" t="e">
        <f t="shared" si="42"/>
        <v>#N/A</v>
      </c>
      <c r="X41" s="79" t="e">
        <f t="shared" si="43"/>
        <v>#N/A</v>
      </c>
      <c r="Y41" s="80" t="e">
        <f>IF(W41="","",VLOOKUP(W41,成長曲線_データ!$D$4:$AC$214,4,TRUE))</f>
        <v>#N/A</v>
      </c>
      <c r="Z41" s="80" t="e">
        <f>IF(W41="","",VLOOKUP(W41,成長曲線_データ!$D$4:$AC$214,12,TRUE))</f>
        <v>#N/A</v>
      </c>
      <c r="AA41" s="81" t="e">
        <f>IF(W41="","",VLOOKUP(W41,成長曲線_データ!$D$4:$AC$214,13,TRUE))</f>
        <v>#N/A</v>
      </c>
      <c r="AB41" s="94" t="e">
        <f t="shared" si="44"/>
        <v>#N/A</v>
      </c>
      <c r="AC41" s="82" t="e">
        <f>IF(W41&lt;0.5,NA(),VLOOKUP((W41+1/8),成長曲線_データ!$V$4:$AA$73,2,TRUE))</f>
        <v>#N/A</v>
      </c>
      <c r="AD41" s="82" t="e">
        <f>IF(W41&lt;1,NA(),VLOOKUP(W41,成長曲線_データ!$V$4:$AA$73,3,TRUE))</f>
        <v>#N/A</v>
      </c>
      <c r="AE41" s="82" t="e">
        <f>IF(W41&lt;=6.5,VLOOKUP(W41,頭囲データ!$C$10:$E$85,2,TRUE),NA())</f>
        <v>#N/A</v>
      </c>
      <c r="AF41" s="82" t="e">
        <f>IF(W41&lt;=6.5,VLOOKUP(W41,頭囲データ!$C$10:$E$85,3,TRUE),NA())</f>
        <v>#N/A</v>
      </c>
      <c r="AG41" s="89" t="str">
        <f>入力!F41&amp;"y"&amp;入力!G41&amp;"m"</f>
        <v>ym</v>
      </c>
      <c r="AH41" s="89" t="e">
        <f>IF(AND(入力!W41&gt;=1,入力!W41&lt;6,入力!B41&gt;=70,入力!B41&lt;=120),入力!B41,NA())</f>
        <v>#N/A</v>
      </c>
      <c r="AI41" s="89" t="e">
        <f>IF(AND(入力!W41&gt;=1,入力!W41&lt;6,入力!B41&gt;=70,入力!B41&lt;=120),入力!X41,NA())</f>
        <v>#N/A</v>
      </c>
      <c r="AJ41" s="89" t="e">
        <f>IF(AND(入力!W41&gt;=6,入力!B41&gt;=100,入力!B41&lt;=184),入力!B41,NA())</f>
        <v>#N/A</v>
      </c>
      <c r="AK41" s="89" t="e">
        <f>IF(AND(入力!W41&gt;=6,入力!B41&gt;=100,入力!B41&lt;=184),入力!X41,NA())</f>
        <v>#N/A</v>
      </c>
      <c r="AL41" s="82" t="e">
        <f t="shared" si="45"/>
        <v>#N/A</v>
      </c>
      <c r="AM41" s="82"/>
      <c r="AN41" s="80" t="e">
        <f t="shared" si="46"/>
        <v>#N/A</v>
      </c>
      <c r="AO41" s="80" t="e">
        <f t="shared" si="47"/>
        <v>#N/A</v>
      </c>
      <c r="AP41" s="81" t="e">
        <f t="shared" si="48"/>
        <v>#N/A</v>
      </c>
      <c r="AQ41" s="81" t="e">
        <f t="shared" si="49"/>
        <v>#VALUE!</v>
      </c>
      <c r="AR41" s="81" t="e">
        <f t="shared" si="50"/>
        <v>#N/A</v>
      </c>
      <c r="AS41" s="81" t="e">
        <f t="shared" si="51"/>
        <v>#N/A</v>
      </c>
      <c r="AT41" s="81" t="e">
        <f t="shared" si="52"/>
        <v>#N/A</v>
      </c>
      <c r="AU41" s="81" t="e">
        <f t="shared" si="53"/>
        <v>#N/A</v>
      </c>
      <c r="AV41" s="81" t="e">
        <f t="shared" si="54"/>
        <v>#N/A</v>
      </c>
      <c r="AW41" s="81" t="e">
        <f t="shared" si="55"/>
        <v>#N/A</v>
      </c>
      <c r="AX41" s="81" t="e">
        <f t="shared" si="56"/>
        <v>#N/A</v>
      </c>
      <c r="AY41" s="81" t="e">
        <f>VLOOKUP($W41,頭囲データ!$R$10:$W$11,3,TRUE)*$W41^3+VLOOKUP($W41,頭囲データ!$R$10:$W$11,4,TRUE)*$W41^2+VLOOKUP($W41,頭囲データ!$R$10:$W$11,5,TRUE)*$W41+VLOOKUP($W41,頭囲データ!$R$10:$W$11,6,TRUE)</f>
        <v>#N/A</v>
      </c>
      <c r="AZ41" s="81" t="e">
        <f>VLOOKUP($W41,頭囲データ!$R$12:$W$16,3,TRUE)*$W41^3+VLOOKUP($W41,頭囲データ!$R$12:$W$16,4,TRUE)*$W41^2+VLOOKUP($W41,頭囲データ!$R$12:$W$16,5,TRUE)*$W41+VLOOKUP($W41,頭囲データ!$R$12:$W$16,6,TRUE)</f>
        <v>#N/A</v>
      </c>
      <c r="BA41" s="81" t="e">
        <f>VLOOKUP($W41,頭囲データ!$R$17:$W$18,3,TRUE)*$W41^3+VLOOKUP($W41,頭囲データ!$R$17:$W$18,4,TRUE)*$W41^2+VLOOKUP($W41,頭囲データ!$R$17:$W$18,5,TRUE)*$W41+VLOOKUP($W41,頭囲データ!$R$17:$W$18,6,TRUE)</f>
        <v>#N/A</v>
      </c>
      <c r="BB41" s="81" t="e">
        <f t="shared" si="57"/>
        <v>#N/A</v>
      </c>
      <c r="BC41" s="81" t="e">
        <f>VLOOKUP($W41,胸囲データ!$R$10:$W$11,3,TRUE)*$W41^3+VLOOKUP($W41,胸囲データ!$R$10:$W$11,4,TRUE)*$W41^2+VLOOKUP($W41,胸囲データ!$R$10:$W$11,5,TRUE)*$W41+VLOOKUP($W41,胸囲データ!$R$10:$W$11,6,TRUE)</f>
        <v>#N/A</v>
      </c>
      <c r="BD41" s="81" t="e">
        <f>VLOOKUP($W41,胸囲データ!$R$12:$W$16,3,TRUE)*$W41^3+VLOOKUP($W41,胸囲データ!$R$12:$W$16,4,TRUE)*$W41^2+VLOOKUP($W41,胸囲データ!$R$12:$W$16,5,TRUE)*$W41+VLOOKUP($W41,胸囲データ!$R$12:$W$16,6,TRUE)</f>
        <v>#N/A</v>
      </c>
      <c r="BE41" s="81" t="e">
        <f>VLOOKUP($W41,胸囲データ!$R$17:$W$18,3,TRUE)*$W41^3+VLOOKUP($W41,胸囲データ!$R$17:$W$18,4,TRUE)*$W41^2+VLOOKUP($W41,胸囲データ!$R$17:$W$18,5,TRUE)*$W41+VLOOKUP($W41,胸囲データ!$R$17:$W$18,6,TRUE)</f>
        <v>#N/A</v>
      </c>
    </row>
    <row r="42" spans="1:57" x14ac:dyDescent="0.15">
      <c r="A42" s="35"/>
      <c r="B42" s="36"/>
      <c r="C42" s="36"/>
      <c r="D42" s="49"/>
      <c r="E42" s="76"/>
      <c r="F42" s="51" t="str">
        <f t="shared" si="29"/>
        <v/>
      </c>
      <c r="G42" s="37" t="str">
        <f t="shared" si="33"/>
        <v/>
      </c>
      <c r="H42" s="38" t="str">
        <f>IF(ISERROR(W42),"",VLOOKUP(W42,成長曲線_データ!$D$4:$AC$214,3,TRUE))</f>
        <v/>
      </c>
      <c r="I42" s="39" t="str">
        <f t="shared" si="34"/>
        <v/>
      </c>
      <c r="J42" s="39" t="str">
        <f t="shared" si="35"/>
        <v/>
      </c>
      <c r="K42" s="39" t="str">
        <f t="shared" si="36"/>
        <v/>
      </c>
      <c r="L42" s="39" t="str">
        <f t="shared" si="32"/>
        <v/>
      </c>
      <c r="M42" s="39" t="str">
        <f t="shared" si="27"/>
        <v/>
      </c>
      <c r="N42" s="39" t="str">
        <f t="shared" si="37"/>
        <v/>
      </c>
      <c r="O42" s="40" t="str">
        <f t="shared" si="38"/>
        <v/>
      </c>
      <c r="P42" s="40" t="str">
        <f t="shared" si="39"/>
        <v/>
      </c>
      <c r="Q42" s="39" t="str">
        <f t="shared" si="8"/>
        <v/>
      </c>
      <c r="R42" s="39" t="str">
        <f t="shared" si="40"/>
        <v/>
      </c>
      <c r="S42" s="39" t="str">
        <f t="shared" si="10"/>
        <v/>
      </c>
      <c r="T42" s="41" t="str">
        <f t="shared" si="41"/>
        <v/>
      </c>
      <c r="V42" s="90"/>
      <c r="W42" s="79" t="e">
        <f t="shared" si="42"/>
        <v>#N/A</v>
      </c>
      <c r="X42" s="79" t="e">
        <f t="shared" si="43"/>
        <v>#N/A</v>
      </c>
      <c r="Y42" s="80" t="e">
        <f>IF(W42="","",VLOOKUP(W42,成長曲線_データ!$D$4:$AC$214,4,TRUE))</f>
        <v>#N/A</v>
      </c>
      <c r="Z42" s="80" t="e">
        <f>IF(W42="","",VLOOKUP(W42,成長曲線_データ!$D$4:$AC$214,12,TRUE))</f>
        <v>#N/A</v>
      </c>
      <c r="AA42" s="81" t="e">
        <f>IF(W42="","",VLOOKUP(W42,成長曲線_データ!$D$4:$AC$214,13,TRUE))</f>
        <v>#N/A</v>
      </c>
      <c r="AB42" s="94" t="e">
        <f t="shared" si="44"/>
        <v>#N/A</v>
      </c>
      <c r="AC42" s="82" t="e">
        <f>IF(W42&lt;0.5,NA(),VLOOKUP((W42+1/8),成長曲線_データ!$V$4:$AA$73,2,TRUE))</f>
        <v>#N/A</v>
      </c>
      <c r="AD42" s="82" t="e">
        <f>IF(W42&lt;1,NA(),VLOOKUP(W42,成長曲線_データ!$V$4:$AA$73,3,TRUE))</f>
        <v>#N/A</v>
      </c>
      <c r="AE42" s="82" t="e">
        <f>IF(W42&lt;=6.5,VLOOKUP(W42,頭囲データ!$C$10:$E$85,2,TRUE),NA())</f>
        <v>#N/A</v>
      </c>
      <c r="AF42" s="82" t="e">
        <f>IF(W42&lt;=6.5,VLOOKUP(W42,頭囲データ!$C$10:$E$85,3,TRUE),NA())</f>
        <v>#N/A</v>
      </c>
      <c r="AG42" s="89" t="str">
        <f>入力!F42&amp;"y"&amp;入力!G42&amp;"m"</f>
        <v>ym</v>
      </c>
      <c r="AH42" s="89" t="e">
        <f>IF(AND(入力!W42&gt;=1,入力!W42&lt;6,入力!B42&gt;=70,入力!B42&lt;=120),入力!B42,NA())</f>
        <v>#N/A</v>
      </c>
      <c r="AI42" s="89" t="e">
        <f>IF(AND(入力!W42&gt;=1,入力!W42&lt;6,入力!B42&gt;=70,入力!B42&lt;=120),入力!X42,NA())</f>
        <v>#N/A</v>
      </c>
      <c r="AJ42" s="89" t="e">
        <f>IF(AND(入力!W42&gt;=6,入力!B42&gt;=100,入力!B42&lt;=184),入力!B42,NA())</f>
        <v>#N/A</v>
      </c>
      <c r="AK42" s="89" t="e">
        <f>IF(AND(入力!W42&gt;=6,入力!B42&gt;=100,入力!B42&lt;=184),入力!X42,NA())</f>
        <v>#N/A</v>
      </c>
      <c r="AL42" s="82" t="e">
        <f t="shared" si="45"/>
        <v>#N/A</v>
      </c>
      <c r="AM42" s="82"/>
      <c r="AN42" s="80" t="e">
        <f t="shared" si="46"/>
        <v>#N/A</v>
      </c>
      <c r="AO42" s="80" t="e">
        <f t="shared" si="47"/>
        <v>#N/A</v>
      </c>
      <c r="AP42" s="81" t="e">
        <f t="shared" si="48"/>
        <v>#N/A</v>
      </c>
      <c r="AQ42" s="81" t="e">
        <f t="shared" si="49"/>
        <v>#VALUE!</v>
      </c>
      <c r="AR42" s="81" t="e">
        <f t="shared" si="50"/>
        <v>#N/A</v>
      </c>
      <c r="AS42" s="81" t="e">
        <f t="shared" si="51"/>
        <v>#N/A</v>
      </c>
      <c r="AT42" s="81" t="e">
        <f t="shared" si="52"/>
        <v>#N/A</v>
      </c>
      <c r="AU42" s="81" t="e">
        <f t="shared" si="53"/>
        <v>#N/A</v>
      </c>
      <c r="AV42" s="81" t="e">
        <f t="shared" si="54"/>
        <v>#N/A</v>
      </c>
      <c r="AW42" s="81" t="e">
        <f t="shared" si="55"/>
        <v>#N/A</v>
      </c>
      <c r="AX42" s="81" t="e">
        <f t="shared" si="56"/>
        <v>#N/A</v>
      </c>
      <c r="AY42" s="81" t="e">
        <f>VLOOKUP($W42,頭囲データ!$R$10:$W$11,3,TRUE)*$W42^3+VLOOKUP($W42,頭囲データ!$R$10:$W$11,4,TRUE)*$W42^2+VLOOKUP($W42,頭囲データ!$R$10:$W$11,5,TRUE)*$W42+VLOOKUP($W42,頭囲データ!$R$10:$W$11,6,TRUE)</f>
        <v>#N/A</v>
      </c>
      <c r="AZ42" s="81" t="e">
        <f>VLOOKUP($W42,頭囲データ!$R$12:$W$16,3,TRUE)*$W42^3+VLOOKUP($W42,頭囲データ!$R$12:$W$16,4,TRUE)*$W42^2+VLOOKUP($W42,頭囲データ!$R$12:$W$16,5,TRUE)*$W42+VLOOKUP($W42,頭囲データ!$R$12:$W$16,6,TRUE)</f>
        <v>#N/A</v>
      </c>
      <c r="BA42" s="81" t="e">
        <f>VLOOKUP($W42,頭囲データ!$R$17:$W$18,3,TRUE)*$W42^3+VLOOKUP($W42,頭囲データ!$R$17:$W$18,4,TRUE)*$W42^2+VLOOKUP($W42,頭囲データ!$R$17:$W$18,5,TRUE)*$W42+VLOOKUP($W42,頭囲データ!$R$17:$W$18,6,TRUE)</f>
        <v>#N/A</v>
      </c>
      <c r="BB42" s="81" t="e">
        <f t="shared" si="57"/>
        <v>#N/A</v>
      </c>
      <c r="BC42" s="81" t="e">
        <f>VLOOKUP($W42,胸囲データ!$R$10:$W$11,3,TRUE)*$W42^3+VLOOKUP($W42,胸囲データ!$R$10:$W$11,4,TRUE)*$W42^2+VLOOKUP($W42,胸囲データ!$R$10:$W$11,5,TRUE)*$W42+VLOOKUP($W42,胸囲データ!$R$10:$W$11,6,TRUE)</f>
        <v>#N/A</v>
      </c>
      <c r="BD42" s="81" t="e">
        <f>VLOOKUP($W42,胸囲データ!$R$12:$W$16,3,TRUE)*$W42^3+VLOOKUP($W42,胸囲データ!$R$12:$W$16,4,TRUE)*$W42^2+VLOOKUP($W42,胸囲データ!$R$12:$W$16,5,TRUE)*$W42+VLOOKUP($W42,胸囲データ!$R$12:$W$16,6,TRUE)</f>
        <v>#N/A</v>
      </c>
      <c r="BE42" s="81" t="e">
        <f>VLOOKUP($W42,胸囲データ!$R$17:$W$18,3,TRUE)*$W42^3+VLOOKUP($W42,胸囲データ!$R$17:$W$18,4,TRUE)*$W42^2+VLOOKUP($W42,胸囲データ!$R$17:$W$18,5,TRUE)*$W42+VLOOKUP($W42,胸囲データ!$R$17:$W$18,6,TRUE)</f>
        <v>#N/A</v>
      </c>
    </row>
    <row r="43" spans="1:57" x14ac:dyDescent="0.15">
      <c r="A43" s="35"/>
      <c r="B43" s="36"/>
      <c r="C43" s="36"/>
      <c r="D43" s="49"/>
      <c r="E43" s="76"/>
      <c r="F43" s="51" t="str">
        <f t="shared" si="29"/>
        <v/>
      </c>
      <c r="G43" s="37" t="str">
        <f t="shared" si="33"/>
        <v/>
      </c>
      <c r="H43" s="38" t="str">
        <f>IF(ISERROR(W43),"",VLOOKUP(W43,成長曲線_データ!$D$4:$AC$214,3,TRUE))</f>
        <v/>
      </c>
      <c r="I43" s="39" t="str">
        <f t="shared" si="34"/>
        <v/>
      </c>
      <c r="J43" s="39" t="str">
        <f t="shared" si="35"/>
        <v/>
      </c>
      <c r="K43" s="39" t="str">
        <f t="shared" si="36"/>
        <v/>
      </c>
      <c r="L43" s="39" t="str">
        <f t="shared" si="32"/>
        <v/>
      </c>
      <c r="M43" s="39" t="str">
        <f t="shared" si="27"/>
        <v/>
      </c>
      <c r="N43" s="39" t="str">
        <f t="shared" si="37"/>
        <v/>
      </c>
      <c r="O43" s="40" t="str">
        <f t="shared" si="38"/>
        <v/>
      </c>
      <c r="P43" s="40" t="str">
        <f t="shared" si="39"/>
        <v/>
      </c>
      <c r="Q43" s="39" t="str">
        <f t="shared" si="8"/>
        <v/>
      </c>
      <c r="R43" s="39" t="str">
        <f t="shared" si="40"/>
        <v/>
      </c>
      <c r="S43" s="39" t="str">
        <f t="shared" si="10"/>
        <v/>
      </c>
      <c r="T43" s="41" t="str">
        <f t="shared" si="41"/>
        <v/>
      </c>
      <c r="V43" s="90"/>
      <c r="W43" s="79" t="e">
        <f t="shared" si="42"/>
        <v>#N/A</v>
      </c>
      <c r="X43" s="79" t="e">
        <f t="shared" si="43"/>
        <v>#N/A</v>
      </c>
      <c r="Y43" s="80" t="e">
        <f>IF(W43="","",VLOOKUP(W43,成長曲線_データ!$D$4:$AC$214,4,TRUE))</f>
        <v>#N/A</v>
      </c>
      <c r="Z43" s="80" t="e">
        <f>IF(W43="","",VLOOKUP(W43,成長曲線_データ!$D$4:$AC$214,12,TRUE))</f>
        <v>#N/A</v>
      </c>
      <c r="AA43" s="81" t="e">
        <f>IF(W43="","",VLOOKUP(W43,成長曲線_データ!$D$4:$AC$214,13,TRUE))</f>
        <v>#N/A</v>
      </c>
      <c r="AB43" s="94" t="e">
        <f t="shared" si="44"/>
        <v>#N/A</v>
      </c>
      <c r="AC43" s="82" t="e">
        <f>IF(W43&lt;0.5,NA(),VLOOKUP((W43+1/8),成長曲線_データ!$V$4:$AA$73,2,TRUE))</f>
        <v>#N/A</v>
      </c>
      <c r="AD43" s="82" t="e">
        <f>IF(W43&lt;1,NA(),VLOOKUP(W43,成長曲線_データ!$V$4:$AA$73,3,TRUE))</f>
        <v>#N/A</v>
      </c>
      <c r="AE43" s="82" t="e">
        <f>IF(W43&lt;=6.5,VLOOKUP(W43,頭囲データ!$C$10:$E$85,2,TRUE),NA())</f>
        <v>#N/A</v>
      </c>
      <c r="AF43" s="82" t="e">
        <f>IF(W43&lt;=6.5,VLOOKUP(W43,頭囲データ!$C$10:$E$85,3,TRUE),NA())</f>
        <v>#N/A</v>
      </c>
      <c r="AG43" s="89" t="str">
        <f>入力!F43&amp;"y"&amp;入力!G43&amp;"m"</f>
        <v>ym</v>
      </c>
      <c r="AH43" s="89" t="e">
        <f>IF(AND(入力!W43&gt;=1,入力!W43&lt;6,入力!B43&gt;=70,入力!B43&lt;=120),入力!B43,NA())</f>
        <v>#N/A</v>
      </c>
      <c r="AI43" s="89" t="e">
        <f>IF(AND(入力!W43&gt;=1,入力!W43&lt;6,入力!B43&gt;=70,入力!B43&lt;=120),入力!X43,NA())</f>
        <v>#N/A</v>
      </c>
      <c r="AJ43" s="89" t="e">
        <f>IF(AND(入力!W43&gt;=6,入力!B43&gt;=100,入力!B43&lt;=184),入力!B43,NA())</f>
        <v>#N/A</v>
      </c>
      <c r="AK43" s="89" t="e">
        <f>IF(AND(入力!W43&gt;=6,入力!B43&gt;=100,入力!B43&lt;=184),入力!X43,NA())</f>
        <v>#N/A</v>
      </c>
      <c r="AL43" s="82" t="e">
        <f t="shared" si="45"/>
        <v>#N/A</v>
      </c>
      <c r="AM43" s="82"/>
      <c r="AN43" s="80" t="e">
        <f t="shared" si="46"/>
        <v>#N/A</v>
      </c>
      <c r="AO43" s="80" t="e">
        <f t="shared" si="47"/>
        <v>#N/A</v>
      </c>
      <c r="AP43" s="81" t="e">
        <f t="shared" si="48"/>
        <v>#N/A</v>
      </c>
      <c r="AQ43" s="81" t="e">
        <f t="shared" si="49"/>
        <v>#VALUE!</v>
      </c>
      <c r="AR43" s="81" t="e">
        <f t="shared" si="50"/>
        <v>#N/A</v>
      </c>
      <c r="AS43" s="81" t="e">
        <f t="shared" si="51"/>
        <v>#N/A</v>
      </c>
      <c r="AT43" s="81" t="e">
        <f t="shared" si="52"/>
        <v>#N/A</v>
      </c>
      <c r="AU43" s="81" t="e">
        <f t="shared" si="53"/>
        <v>#N/A</v>
      </c>
      <c r="AV43" s="81" t="e">
        <f t="shared" si="54"/>
        <v>#N/A</v>
      </c>
      <c r="AW43" s="81" t="e">
        <f t="shared" si="55"/>
        <v>#N/A</v>
      </c>
      <c r="AX43" s="81" t="e">
        <f t="shared" si="56"/>
        <v>#N/A</v>
      </c>
      <c r="AY43" s="81" t="e">
        <f>VLOOKUP($W43,頭囲データ!$R$10:$W$11,3,TRUE)*$W43^3+VLOOKUP($W43,頭囲データ!$R$10:$W$11,4,TRUE)*$W43^2+VLOOKUP($W43,頭囲データ!$R$10:$W$11,5,TRUE)*$W43+VLOOKUP($W43,頭囲データ!$R$10:$W$11,6,TRUE)</f>
        <v>#N/A</v>
      </c>
      <c r="AZ43" s="81" t="e">
        <f>VLOOKUP($W43,頭囲データ!$R$12:$W$16,3,TRUE)*$W43^3+VLOOKUP($W43,頭囲データ!$R$12:$W$16,4,TRUE)*$W43^2+VLOOKUP($W43,頭囲データ!$R$12:$W$16,5,TRUE)*$W43+VLOOKUP($W43,頭囲データ!$R$12:$W$16,6,TRUE)</f>
        <v>#N/A</v>
      </c>
      <c r="BA43" s="81" t="e">
        <f>VLOOKUP($W43,頭囲データ!$R$17:$W$18,3,TRUE)*$W43^3+VLOOKUP($W43,頭囲データ!$R$17:$W$18,4,TRUE)*$W43^2+VLOOKUP($W43,頭囲データ!$R$17:$W$18,5,TRUE)*$W43+VLOOKUP($W43,頭囲データ!$R$17:$W$18,6,TRUE)</f>
        <v>#N/A</v>
      </c>
      <c r="BB43" s="81" t="e">
        <f t="shared" si="57"/>
        <v>#N/A</v>
      </c>
      <c r="BC43" s="81" t="e">
        <f>VLOOKUP($W43,胸囲データ!$R$10:$W$11,3,TRUE)*$W43^3+VLOOKUP($W43,胸囲データ!$R$10:$W$11,4,TRUE)*$W43^2+VLOOKUP($W43,胸囲データ!$R$10:$W$11,5,TRUE)*$W43+VLOOKUP($W43,胸囲データ!$R$10:$W$11,6,TRUE)</f>
        <v>#N/A</v>
      </c>
      <c r="BD43" s="81" t="e">
        <f>VLOOKUP($W43,胸囲データ!$R$12:$W$16,3,TRUE)*$W43^3+VLOOKUP($W43,胸囲データ!$R$12:$W$16,4,TRUE)*$W43^2+VLOOKUP($W43,胸囲データ!$R$12:$W$16,5,TRUE)*$W43+VLOOKUP($W43,胸囲データ!$R$12:$W$16,6,TRUE)</f>
        <v>#N/A</v>
      </c>
      <c r="BE43" s="81" t="e">
        <f>VLOOKUP($W43,胸囲データ!$R$17:$W$18,3,TRUE)*$W43^3+VLOOKUP($W43,胸囲データ!$R$17:$W$18,4,TRUE)*$W43^2+VLOOKUP($W43,胸囲データ!$R$17:$W$18,5,TRUE)*$W43+VLOOKUP($W43,胸囲データ!$R$17:$W$18,6,TRUE)</f>
        <v>#N/A</v>
      </c>
    </row>
    <row r="44" spans="1:57" x14ac:dyDescent="0.15">
      <c r="A44" s="35"/>
      <c r="B44" s="36"/>
      <c r="C44" s="36"/>
      <c r="D44" s="49"/>
      <c r="E44" s="76"/>
      <c r="F44" s="51" t="str">
        <f t="shared" si="29"/>
        <v/>
      </c>
      <c r="G44" s="37" t="str">
        <f t="shared" si="33"/>
        <v/>
      </c>
      <c r="H44" s="38" t="str">
        <f>IF(ISERROR(W44),"",VLOOKUP(W44,成長曲線_データ!$D$4:$AC$214,3,TRUE))</f>
        <v/>
      </c>
      <c r="I44" s="39" t="str">
        <f t="shared" si="34"/>
        <v/>
      </c>
      <c r="J44" s="39" t="str">
        <f t="shared" si="35"/>
        <v/>
      </c>
      <c r="K44" s="39" t="str">
        <f t="shared" si="36"/>
        <v/>
      </c>
      <c r="L44" s="39" t="str">
        <f t="shared" si="32"/>
        <v/>
      </c>
      <c r="M44" s="39" t="str">
        <f t="shared" si="27"/>
        <v/>
      </c>
      <c r="N44" s="39" t="str">
        <f t="shared" si="37"/>
        <v/>
      </c>
      <c r="O44" s="40" t="str">
        <f t="shared" si="38"/>
        <v/>
      </c>
      <c r="P44" s="40" t="str">
        <f t="shared" si="39"/>
        <v/>
      </c>
      <c r="Q44" s="39" t="str">
        <f t="shared" si="8"/>
        <v/>
      </c>
      <c r="R44" s="39" t="str">
        <f t="shared" si="40"/>
        <v/>
      </c>
      <c r="S44" s="39" t="str">
        <f t="shared" si="10"/>
        <v/>
      </c>
      <c r="T44" s="41" t="str">
        <f t="shared" si="41"/>
        <v/>
      </c>
      <c r="V44" s="90"/>
      <c r="W44" s="79" t="e">
        <f t="shared" si="42"/>
        <v>#N/A</v>
      </c>
      <c r="X44" s="79" t="e">
        <f t="shared" si="43"/>
        <v>#N/A</v>
      </c>
      <c r="Y44" s="80" t="e">
        <f>IF(W44="","",VLOOKUP(W44,成長曲線_データ!$D$4:$AC$214,4,TRUE))</f>
        <v>#N/A</v>
      </c>
      <c r="Z44" s="80" t="e">
        <f>IF(W44="","",VLOOKUP(W44,成長曲線_データ!$D$4:$AC$214,12,TRUE))</f>
        <v>#N/A</v>
      </c>
      <c r="AA44" s="81" t="e">
        <f>IF(W44="","",VLOOKUP(W44,成長曲線_データ!$D$4:$AC$214,13,TRUE))</f>
        <v>#N/A</v>
      </c>
      <c r="AB44" s="94" t="e">
        <f t="shared" si="44"/>
        <v>#N/A</v>
      </c>
      <c r="AC44" s="82" t="e">
        <f>IF(W44&lt;0.5,NA(),VLOOKUP((W44+1/8),成長曲線_データ!$V$4:$AA$73,2,TRUE))</f>
        <v>#N/A</v>
      </c>
      <c r="AD44" s="82" t="e">
        <f>IF(W44&lt;1,NA(),VLOOKUP(W44,成長曲線_データ!$V$4:$AA$73,3,TRUE))</f>
        <v>#N/A</v>
      </c>
      <c r="AE44" s="82" t="e">
        <f>IF(W44&lt;=6.5,VLOOKUP(W44,頭囲データ!$C$10:$E$85,2,TRUE),NA())</f>
        <v>#N/A</v>
      </c>
      <c r="AF44" s="82" t="e">
        <f>IF(W44&lt;=6.5,VLOOKUP(W44,頭囲データ!$C$10:$E$85,3,TRUE),NA())</f>
        <v>#N/A</v>
      </c>
      <c r="AG44" s="89" t="str">
        <f>入力!F44&amp;"y"&amp;入力!G44&amp;"m"</f>
        <v>ym</v>
      </c>
      <c r="AH44" s="89" t="e">
        <f>IF(AND(入力!W44&gt;=1,入力!W44&lt;6,入力!B44&gt;=70,入力!B44&lt;=120),入力!B44,NA())</f>
        <v>#N/A</v>
      </c>
      <c r="AI44" s="89" t="e">
        <f>IF(AND(入力!W44&gt;=1,入力!W44&lt;6,入力!B44&gt;=70,入力!B44&lt;=120),入力!X44,NA())</f>
        <v>#N/A</v>
      </c>
      <c r="AJ44" s="89" t="e">
        <f>IF(AND(入力!W44&gt;=6,入力!B44&gt;=100,入力!B44&lt;=184),入力!B44,NA())</f>
        <v>#N/A</v>
      </c>
      <c r="AK44" s="89" t="e">
        <f>IF(AND(入力!W44&gt;=6,入力!B44&gt;=100,入力!B44&lt;=184),入力!X44,NA())</f>
        <v>#N/A</v>
      </c>
      <c r="AL44" s="82" t="e">
        <f t="shared" si="45"/>
        <v>#N/A</v>
      </c>
      <c r="AM44" s="82"/>
      <c r="AN44" s="80" t="e">
        <f t="shared" si="46"/>
        <v>#N/A</v>
      </c>
      <c r="AO44" s="80" t="e">
        <f t="shared" si="47"/>
        <v>#N/A</v>
      </c>
      <c r="AP44" s="81" t="e">
        <f t="shared" si="48"/>
        <v>#N/A</v>
      </c>
      <c r="AQ44" s="81" t="e">
        <f t="shared" si="49"/>
        <v>#VALUE!</v>
      </c>
      <c r="AR44" s="81" t="e">
        <f t="shared" si="50"/>
        <v>#N/A</v>
      </c>
      <c r="AS44" s="81" t="e">
        <f t="shared" si="51"/>
        <v>#N/A</v>
      </c>
      <c r="AT44" s="81" t="e">
        <f t="shared" si="52"/>
        <v>#N/A</v>
      </c>
      <c r="AU44" s="81" t="e">
        <f t="shared" si="53"/>
        <v>#N/A</v>
      </c>
      <c r="AV44" s="81" t="e">
        <f t="shared" si="54"/>
        <v>#N/A</v>
      </c>
      <c r="AW44" s="81" t="e">
        <f t="shared" si="55"/>
        <v>#N/A</v>
      </c>
      <c r="AX44" s="81" t="e">
        <f t="shared" si="56"/>
        <v>#N/A</v>
      </c>
      <c r="AY44" s="81" t="e">
        <f>VLOOKUP($W44,頭囲データ!$R$10:$W$11,3,TRUE)*$W44^3+VLOOKUP($W44,頭囲データ!$R$10:$W$11,4,TRUE)*$W44^2+VLOOKUP($W44,頭囲データ!$R$10:$W$11,5,TRUE)*$W44+VLOOKUP($W44,頭囲データ!$R$10:$W$11,6,TRUE)</f>
        <v>#N/A</v>
      </c>
      <c r="AZ44" s="81" t="e">
        <f>VLOOKUP($W44,頭囲データ!$R$12:$W$16,3,TRUE)*$W44^3+VLOOKUP($W44,頭囲データ!$R$12:$W$16,4,TRUE)*$W44^2+VLOOKUP($W44,頭囲データ!$R$12:$W$16,5,TRUE)*$W44+VLOOKUP($W44,頭囲データ!$R$12:$W$16,6,TRUE)</f>
        <v>#N/A</v>
      </c>
      <c r="BA44" s="81" t="e">
        <f>VLOOKUP($W44,頭囲データ!$R$17:$W$18,3,TRUE)*$W44^3+VLOOKUP($W44,頭囲データ!$R$17:$W$18,4,TRUE)*$W44^2+VLOOKUP($W44,頭囲データ!$R$17:$W$18,5,TRUE)*$W44+VLOOKUP($W44,頭囲データ!$R$17:$W$18,6,TRUE)</f>
        <v>#N/A</v>
      </c>
      <c r="BB44" s="81" t="e">
        <f t="shared" si="57"/>
        <v>#N/A</v>
      </c>
      <c r="BC44" s="81" t="e">
        <f>VLOOKUP($W44,胸囲データ!$R$10:$W$11,3,TRUE)*$W44^3+VLOOKUP($W44,胸囲データ!$R$10:$W$11,4,TRUE)*$W44^2+VLOOKUP($W44,胸囲データ!$R$10:$W$11,5,TRUE)*$W44+VLOOKUP($W44,胸囲データ!$R$10:$W$11,6,TRUE)</f>
        <v>#N/A</v>
      </c>
      <c r="BD44" s="81" t="e">
        <f>VLOOKUP($W44,胸囲データ!$R$12:$W$16,3,TRUE)*$W44^3+VLOOKUP($W44,胸囲データ!$R$12:$W$16,4,TRUE)*$W44^2+VLOOKUP($W44,胸囲データ!$R$12:$W$16,5,TRUE)*$W44+VLOOKUP($W44,胸囲データ!$R$12:$W$16,6,TRUE)</f>
        <v>#N/A</v>
      </c>
      <c r="BE44" s="81" t="e">
        <f>VLOOKUP($W44,胸囲データ!$R$17:$W$18,3,TRUE)*$W44^3+VLOOKUP($W44,胸囲データ!$R$17:$W$18,4,TRUE)*$W44^2+VLOOKUP($W44,胸囲データ!$R$17:$W$18,5,TRUE)*$W44+VLOOKUP($W44,胸囲データ!$R$17:$W$18,6,TRUE)</f>
        <v>#N/A</v>
      </c>
    </row>
    <row r="45" spans="1:57" x14ac:dyDescent="0.15">
      <c r="A45" s="35"/>
      <c r="B45" s="36"/>
      <c r="C45" s="36"/>
      <c r="D45" s="49"/>
      <c r="E45" s="76"/>
      <c r="F45" s="51" t="str">
        <f t="shared" si="29"/>
        <v/>
      </c>
      <c r="G45" s="37" t="str">
        <f t="shared" si="33"/>
        <v/>
      </c>
      <c r="H45" s="38" t="str">
        <f>IF(ISERROR(W45),"",VLOOKUP(W45,成長曲線_データ!$D$4:$AC$214,3,TRUE))</f>
        <v/>
      </c>
      <c r="I45" s="39" t="str">
        <f t="shared" si="34"/>
        <v/>
      </c>
      <c r="J45" s="39" t="str">
        <f t="shared" si="35"/>
        <v/>
      </c>
      <c r="K45" s="39" t="str">
        <f t="shared" si="36"/>
        <v/>
      </c>
      <c r="L45" s="39" t="str">
        <f t="shared" si="32"/>
        <v/>
      </c>
      <c r="M45" s="39" t="str">
        <f t="shared" si="27"/>
        <v/>
      </c>
      <c r="N45" s="39" t="str">
        <f t="shared" si="37"/>
        <v/>
      </c>
      <c r="O45" s="40" t="str">
        <f t="shared" si="38"/>
        <v/>
      </c>
      <c r="P45" s="40" t="str">
        <f t="shared" si="39"/>
        <v/>
      </c>
      <c r="Q45" s="39" t="str">
        <f t="shared" si="8"/>
        <v/>
      </c>
      <c r="R45" s="39" t="str">
        <f t="shared" si="40"/>
        <v/>
      </c>
      <c r="S45" s="39" t="str">
        <f t="shared" si="10"/>
        <v/>
      </c>
      <c r="T45" s="41" t="str">
        <f t="shared" si="41"/>
        <v/>
      </c>
      <c r="V45" s="90"/>
      <c r="W45" s="79" t="e">
        <f t="shared" si="42"/>
        <v>#N/A</v>
      </c>
      <c r="X45" s="79" t="e">
        <f t="shared" si="43"/>
        <v>#N/A</v>
      </c>
      <c r="Y45" s="80" t="e">
        <f>IF(W45="","",VLOOKUP(W45,成長曲線_データ!$D$4:$AC$214,4,TRUE))</f>
        <v>#N/A</v>
      </c>
      <c r="Z45" s="80" t="e">
        <f>IF(W45="","",VLOOKUP(W45,成長曲線_データ!$D$4:$AC$214,12,TRUE))</f>
        <v>#N/A</v>
      </c>
      <c r="AA45" s="81" t="e">
        <f>IF(W45="","",VLOOKUP(W45,成長曲線_データ!$D$4:$AC$214,13,TRUE))</f>
        <v>#N/A</v>
      </c>
      <c r="AB45" s="94" t="e">
        <f t="shared" si="44"/>
        <v>#N/A</v>
      </c>
      <c r="AC45" s="82" t="e">
        <f>IF(W45&lt;0.5,NA(),VLOOKUP((W45+1/8),成長曲線_データ!$V$4:$AA$73,2,TRUE))</f>
        <v>#N/A</v>
      </c>
      <c r="AD45" s="82" t="e">
        <f>IF(W45&lt;1,NA(),VLOOKUP(W45,成長曲線_データ!$V$4:$AA$73,3,TRUE))</f>
        <v>#N/A</v>
      </c>
      <c r="AE45" s="82" t="e">
        <f>IF(W45&lt;=6.5,VLOOKUP(W45,頭囲データ!$C$10:$E$85,2,TRUE),NA())</f>
        <v>#N/A</v>
      </c>
      <c r="AF45" s="82" t="e">
        <f>IF(W45&lt;=6.5,VLOOKUP(W45,頭囲データ!$C$10:$E$85,3,TRUE),NA())</f>
        <v>#N/A</v>
      </c>
      <c r="AG45" s="89" t="str">
        <f>入力!F45&amp;"y"&amp;入力!G45&amp;"m"</f>
        <v>ym</v>
      </c>
      <c r="AH45" s="89" t="e">
        <f>IF(AND(入力!W45&gt;=1,入力!W45&lt;6,入力!B45&gt;=70,入力!B45&lt;=120),入力!B45,NA())</f>
        <v>#N/A</v>
      </c>
      <c r="AI45" s="89" t="e">
        <f>IF(AND(入力!W45&gt;=1,入力!W45&lt;6,入力!B45&gt;=70,入力!B45&lt;=120),入力!X45,NA())</f>
        <v>#N/A</v>
      </c>
      <c r="AJ45" s="89" t="e">
        <f>IF(AND(入力!W45&gt;=6,入力!B45&gt;=100,入力!B45&lt;=184),入力!B45,NA())</f>
        <v>#N/A</v>
      </c>
      <c r="AK45" s="89" t="e">
        <f>IF(AND(入力!W45&gt;=6,入力!B45&gt;=100,入力!B45&lt;=184),入力!X45,NA())</f>
        <v>#N/A</v>
      </c>
      <c r="AL45" s="82" t="e">
        <f t="shared" si="45"/>
        <v>#N/A</v>
      </c>
      <c r="AM45" s="82"/>
      <c r="AN45" s="80" t="e">
        <f t="shared" si="46"/>
        <v>#N/A</v>
      </c>
      <c r="AO45" s="80" t="e">
        <f t="shared" si="47"/>
        <v>#N/A</v>
      </c>
      <c r="AP45" s="81" t="e">
        <f t="shared" si="48"/>
        <v>#N/A</v>
      </c>
      <c r="AQ45" s="81" t="e">
        <f t="shared" si="49"/>
        <v>#VALUE!</v>
      </c>
      <c r="AR45" s="81" t="e">
        <f t="shared" si="50"/>
        <v>#N/A</v>
      </c>
      <c r="AS45" s="81" t="e">
        <f t="shared" si="51"/>
        <v>#N/A</v>
      </c>
      <c r="AT45" s="81" t="e">
        <f t="shared" si="52"/>
        <v>#N/A</v>
      </c>
      <c r="AU45" s="81" t="e">
        <f t="shared" si="53"/>
        <v>#N/A</v>
      </c>
      <c r="AV45" s="81" t="e">
        <f t="shared" si="54"/>
        <v>#N/A</v>
      </c>
      <c r="AW45" s="81" t="e">
        <f t="shared" si="55"/>
        <v>#N/A</v>
      </c>
      <c r="AX45" s="81" t="e">
        <f t="shared" si="56"/>
        <v>#N/A</v>
      </c>
      <c r="AY45" s="81" t="e">
        <f>VLOOKUP($W45,頭囲データ!$R$10:$W$11,3,TRUE)*$W45^3+VLOOKUP($W45,頭囲データ!$R$10:$W$11,4,TRUE)*$W45^2+VLOOKUP($W45,頭囲データ!$R$10:$W$11,5,TRUE)*$W45+VLOOKUP($W45,頭囲データ!$R$10:$W$11,6,TRUE)</f>
        <v>#N/A</v>
      </c>
      <c r="AZ45" s="81" t="e">
        <f>VLOOKUP($W45,頭囲データ!$R$12:$W$16,3,TRUE)*$W45^3+VLOOKUP($W45,頭囲データ!$R$12:$W$16,4,TRUE)*$W45^2+VLOOKUP($W45,頭囲データ!$R$12:$W$16,5,TRUE)*$W45+VLOOKUP($W45,頭囲データ!$R$12:$W$16,6,TRUE)</f>
        <v>#N/A</v>
      </c>
      <c r="BA45" s="81" t="e">
        <f>VLOOKUP($W45,頭囲データ!$R$17:$W$18,3,TRUE)*$W45^3+VLOOKUP($W45,頭囲データ!$R$17:$W$18,4,TRUE)*$W45^2+VLOOKUP($W45,頭囲データ!$R$17:$W$18,5,TRUE)*$W45+VLOOKUP($W45,頭囲データ!$R$17:$W$18,6,TRUE)</f>
        <v>#N/A</v>
      </c>
      <c r="BB45" s="81" t="e">
        <f t="shared" si="57"/>
        <v>#N/A</v>
      </c>
      <c r="BC45" s="81" t="e">
        <f>VLOOKUP($W45,胸囲データ!$R$10:$W$11,3,TRUE)*$W45^3+VLOOKUP($W45,胸囲データ!$R$10:$W$11,4,TRUE)*$W45^2+VLOOKUP($W45,胸囲データ!$R$10:$W$11,5,TRUE)*$W45+VLOOKUP($W45,胸囲データ!$R$10:$W$11,6,TRUE)</f>
        <v>#N/A</v>
      </c>
      <c r="BD45" s="81" t="e">
        <f>VLOOKUP($W45,胸囲データ!$R$12:$W$16,3,TRUE)*$W45^3+VLOOKUP($W45,胸囲データ!$R$12:$W$16,4,TRUE)*$W45^2+VLOOKUP($W45,胸囲データ!$R$12:$W$16,5,TRUE)*$W45+VLOOKUP($W45,胸囲データ!$R$12:$W$16,6,TRUE)</f>
        <v>#N/A</v>
      </c>
      <c r="BE45" s="81" t="e">
        <f>VLOOKUP($W45,胸囲データ!$R$17:$W$18,3,TRUE)*$W45^3+VLOOKUP($W45,胸囲データ!$R$17:$W$18,4,TRUE)*$W45^2+VLOOKUP($W45,胸囲データ!$R$17:$W$18,5,TRUE)*$W45+VLOOKUP($W45,胸囲データ!$R$17:$W$18,6,TRUE)</f>
        <v>#N/A</v>
      </c>
    </row>
    <row r="46" spans="1:57" x14ac:dyDescent="0.15">
      <c r="A46" s="35"/>
      <c r="B46" s="36"/>
      <c r="C46" s="36"/>
      <c r="D46" s="49"/>
      <c r="E46" s="76"/>
      <c r="F46" s="51" t="str">
        <f t="shared" si="29"/>
        <v/>
      </c>
      <c r="G46" s="37" t="str">
        <f t="shared" si="33"/>
        <v/>
      </c>
      <c r="H46" s="38" t="str">
        <f>IF(ISERROR(W46),"",VLOOKUP(W46,成長曲線_データ!$D$4:$AC$214,3,TRUE))</f>
        <v/>
      </c>
      <c r="I46" s="39" t="str">
        <f t="shared" si="34"/>
        <v/>
      </c>
      <c r="J46" s="39" t="str">
        <f t="shared" si="35"/>
        <v/>
      </c>
      <c r="K46" s="39" t="str">
        <f t="shared" si="36"/>
        <v/>
      </c>
      <c r="L46" s="39" t="str">
        <f t="shared" si="32"/>
        <v/>
      </c>
      <c r="M46" s="39" t="str">
        <f t="shared" si="27"/>
        <v/>
      </c>
      <c r="N46" s="39" t="str">
        <f t="shared" si="37"/>
        <v/>
      </c>
      <c r="O46" s="40" t="str">
        <f t="shared" si="38"/>
        <v/>
      </c>
      <c r="P46" s="40" t="str">
        <f t="shared" si="39"/>
        <v/>
      </c>
      <c r="Q46" s="39" t="str">
        <f t="shared" si="8"/>
        <v/>
      </c>
      <c r="R46" s="39" t="str">
        <f t="shared" si="40"/>
        <v/>
      </c>
      <c r="S46" s="39" t="str">
        <f t="shared" si="10"/>
        <v/>
      </c>
      <c r="T46" s="41" t="str">
        <f t="shared" si="41"/>
        <v/>
      </c>
      <c r="V46" s="90"/>
      <c r="W46" s="79" t="e">
        <f t="shared" si="42"/>
        <v>#N/A</v>
      </c>
      <c r="X46" s="79" t="e">
        <f t="shared" si="43"/>
        <v>#N/A</v>
      </c>
      <c r="Y46" s="80" t="e">
        <f>IF(W46="","",VLOOKUP(W46,成長曲線_データ!$D$4:$AC$214,4,TRUE))</f>
        <v>#N/A</v>
      </c>
      <c r="Z46" s="80" t="e">
        <f>IF(W46="","",VLOOKUP(W46,成長曲線_データ!$D$4:$AC$214,12,TRUE))</f>
        <v>#N/A</v>
      </c>
      <c r="AA46" s="81" t="e">
        <f>IF(W46="","",VLOOKUP(W46,成長曲線_データ!$D$4:$AC$214,13,TRUE))</f>
        <v>#N/A</v>
      </c>
      <c r="AB46" s="94" t="e">
        <f t="shared" si="44"/>
        <v>#N/A</v>
      </c>
      <c r="AC46" s="82" t="e">
        <f>IF(W46&lt;0.5,NA(),VLOOKUP((W46+1/8),成長曲線_データ!$V$4:$AA$73,2,TRUE))</f>
        <v>#N/A</v>
      </c>
      <c r="AD46" s="82" t="e">
        <f>IF(W46&lt;1,NA(),VLOOKUP(W46,成長曲線_データ!$V$4:$AA$73,3,TRUE))</f>
        <v>#N/A</v>
      </c>
      <c r="AE46" s="82" t="e">
        <f>IF(W46&lt;=6.5,VLOOKUP(W46,頭囲データ!$C$10:$E$85,2,TRUE),NA())</f>
        <v>#N/A</v>
      </c>
      <c r="AF46" s="82" t="e">
        <f>IF(W46&lt;=6.5,VLOOKUP(W46,頭囲データ!$C$10:$E$85,3,TRUE),NA())</f>
        <v>#N/A</v>
      </c>
      <c r="AG46" s="89" t="str">
        <f>入力!F46&amp;"y"&amp;入力!G46&amp;"m"</f>
        <v>ym</v>
      </c>
      <c r="AH46" s="89" t="e">
        <f>IF(AND(入力!W46&gt;=1,入力!W46&lt;6,入力!B46&gt;=70,入力!B46&lt;=120),入力!B46,NA())</f>
        <v>#N/A</v>
      </c>
      <c r="AI46" s="89" t="e">
        <f>IF(AND(入力!W46&gt;=1,入力!W46&lt;6,入力!B46&gt;=70,入力!B46&lt;=120),入力!X46,NA())</f>
        <v>#N/A</v>
      </c>
      <c r="AJ46" s="89" t="e">
        <f>IF(AND(入力!W46&gt;=6,入力!B46&gt;=100,入力!B46&lt;=184),入力!B46,NA())</f>
        <v>#N/A</v>
      </c>
      <c r="AK46" s="89" t="e">
        <f>IF(AND(入力!W46&gt;=6,入力!B46&gt;=100,入力!B46&lt;=184),入力!X46,NA())</f>
        <v>#N/A</v>
      </c>
      <c r="AL46" s="82" t="e">
        <f t="shared" si="45"/>
        <v>#N/A</v>
      </c>
      <c r="AM46" s="82"/>
      <c r="AN46" s="80" t="e">
        <f t="shared" si="46"/>
        <v>#N/A</v>
      </c>
      <c r="AO46" s="80" t="e">
        <f t="shared" si="47"/>
        <v>#N/A</v>
      </c>
      <c r="AP46" s="81" t="e">
        <f t="shared" si="48"/>
        <v>#N/A</v>
      </c>
      <c r="AQ46" s="81" t="e">
        <f t="shared" si="49"/>
        <v>#VALUE!</v>
      </c>
      <c r="AR46" s="81" t="e">
        <f t="shared" si="50"/>
        <v>#N/A</v>
      </c>
      <c r="AS46" s="81" t="e">
        <f t="shared" si="51"/>
        <v>#N/A</v>
      </c>
      <c r="AT46" s="81" t="e">
        <f t="shared" si="52"/>
        <v>#N/A</v>
      </c>
      <c r="AU46" s="81" t="e">
        <f t="shared" si="53"/>
        <v>#N/A</v>
      </c>
      <c r="AV46" s="81" t="e">
        <f t="shared" si="54"/>
        <v>#N/A</v>
      </c>
      <c r="AW46" s="81" t="e">
        <f t="shared" si="55"/>
        <v>#N/A</v>
      </c>
      <c r="AX46" s="81" t="e">
        <f t="shared" si="56"/>
        <v>#N/A</v>
      </c>
      <c r="AY46" s="81" t="e">
        <f>VLOOKUP($W46,頭囲データ!$R$10:$W$11,3,TRUE)*$W46^3+VLOOKUP($W46,頭囲データ!$R$10:$W$11,4,TRUE)*$W46^2+VLOOKUP($W46,頭囲データ!$R$10:$W$11,5,TRUE)*$W46+VLOOKUP($W46,頭囲データ!$R$10:$W$11,6,TRUE)</f>
        <v>#N/A</v>
      </c>
      <c r="AZ46" s="81" t="e">
        <f>VLOOKUP($W46,頭囲データ!$R$12:$W$16,3,TRUE)*$W46^3+VLOOKUP($W46,頭囲データ!$R$12:$W$16,4,TRUE)*$W46^2+VLOOKUP($W46,頭囲データ!$R$12:$W$16,5,TRUE)*$W46+VLOOKUP($W46,頭囲データ!$R$12:$W$16,6,TRUE)</f>
        <v>#N/A</v>
      </c>
      <c r="BA46" s="81" t="e">
        <f>VLOOKUP($W46,頭囲データ!$R$17:$W$18,3,TRUE)*$W46^3+VLOOKUP($W46,頭囲データ!$R$17:$W$18,4,TRUE)*$W46^2+VLOOKUP($W46,頭囲データ!$R$17:$W$18,5,TRUE)*$W46+VLOOKUP($W46,頭囲データ!$R$17:$W$18,6,TRUE)</f>
        <v>#N/A</v>
      </c>
      <c r="BB46" s="81" t="e">
        <f t="shared" si="57"/>
        <v>#N/A</v>
      </c>
      <c r="BC46" s="81" t="e">
        <f>VLOOKUP($W46,胸囲データ!$R$10:$W$11,3,TRUE)*$W46^3+VLOOKUP($W46,胸囲データ!$R$10:$W$11,4,TRUE)*$W46^2+VLOOKUP($W46,胸囲データ!$R$10:$W$11,5,TRUE)*$W46+VLOOKUP($W46,胸囲データ!$R$10:$W$11,6,TRUE)</f>
        <v>#N/A</v>
      </c>
      <c r="BD46" s="81" t="e">
        <f>VLOOKUP($W46,胸囲データ!$R$12:$W$16,3,TRUE)*$W46^3+VLOOKUP($W46,胸囲データ!$R$12:$W$16,4,TRUE)*$W46^2+VLOOKUP($W46,胸囲データ!$R$12:$W$16,5,TRUE)*$W46+VLOOKUP($W46,胸囲データ!$R$12:$W$16,6,TRUE)</f>
        <v>#N/A</v>
      </c>
      <c r="BE46" s="81" t="e">
        <f>VLOOKUP($W46,胸囲データ!$R$17:$W$18,3,TRUE)*$W46^3+VLOOKUP($W46,胸囲データ!$R$17:$W$18,4,TRUE)*$W46^2+VLOOKUP($W46,胸囲データ!$R$17:$W$18,5,TRUE)*$W46+VLOOKUP($W46,胸囲データ!$R$17:$W$18,6,TRUE)</f>
        <v>#N/A</v>
      </c>
    </row>
    <row r="47" spans="1:57" x14ac:dyDescent="0.15">
      <c r="A47" s="35"/>
      <c r="B47" s="36"/>
      <c r="C47" s="36"/>
      <c r="D47" s="49"/>
      <c r="E47" s="76"/>
      <c r="F47" s="51" t="str">
        <f t="shared" si="29"/>
        <v/>
      </c>
      <c r="G47" s="37" t="str">
        <f t="shared" si="33"/>
        <v/>
      </c>
      <c r="H47" s="38" t="str">
        <f>IF(ISERROR(W47),"",VLOOKUP(W47,成長曲線_データ!$D$4:$AC$214,3,TRUE))</f>
        <v/>
      </c>
      <c r="I47" s="39" t="str">
        <f t="shared" si="34"/>
        <v/>
      </c>
      <c r="J47" s="39" t="str">
        <f t="shared" si="35"/>
        <v/>
      </c>
      <c r="K47" s="39" t="str">
        <f t="shared" si="36"/>
        <v/>
      </c>
      <c r="L47" s="39" t="str">
        <f t="shared" si="32"/>
        <v/>
      </c>
      <c r="M47" s="39" t="str">
        <f t="shared" si="27"/>
        <v/>
      </c>
      <c r="N47" s="39" t="str">
        <f t="shared" si="37"/>
        <v/>
      </c>
      <c r="O47" s="40" t="str">
        <f t="shared" si="38"/>
        <v/>
      </c>
      <c r="P47" s="40" t="str">
        <f t="shared" si="39"/>
        <v/>
      </c>
      <c r="Q47" s="39" t="str">
        <f t="shared" si="8"/>
        <v/>
      </c>
      <c r="R47" s="39" t="str">
        <f t="shared" si="40"/>
        <v/>
      </c>
      <c r="S47" s="39" t="str">
        <f t="shared" si="10"/>
        <v/>
      </c>
      <c r="T47" s="41" t="str">
        <f t="shared" si="41"/>
        <v/>
      </c>
      <c r="V47" s="90"/>
      <c r="W47" s="79" t="e">
        <f t="shared" si="42"/>
        <v>#N/A</v>
      </c>
      <c r="X47" s="79" t="e">
        <f t="shared" si="43"/>
        <v>#N/A</v>
      </c>
      <c r="Y47" s="80" t="e">
        <f>IF(W47="","",VLOOKUP(W47,成長曲線_データ!$D$4:$AC$214,4,TRUE))</f>
        <v>#N/A</v>
      </c>
      <c r="Z47" s="80" t="e">
        <f>IF(W47="","",VLOOKUP(W47,成長曲線_データ!$D$4:$AC$214,12,TRUE))</f>
        <v>#N/A</v>
      </c>
      <c r="AA47" s="81" t="e">
        <f>IF(W47="","",VLOOKUP(W47,成長曲線_データ!$D$4:$AC$214,13,TRUE))</f>
        <v>#N/A</v>
      </c>
      <c r="AB47" s="94" t="e">
        <f t="shared" si="44"/>
        <v>#N/A</v>
      </c>
      <c r="AC47" s="82" t="e">
        <f>IF(W47&lt;0.5,NA(),VLOOKUP((W47+1/8),成長曲線_データ!$V$4:$AA$73,2,TRUE))</f>
        <v>#N/A</v>
      </c>
      <c r="AD47" s="82" t="e">
        <f>IF(W47&lt;1,NA(),VLOOKUP(W47,成長曲線_データ!$V$4:$AA$73,3,TRUE))</f>
        <v>#N/A</v>
      </c>
      <c r="AE47" s="82" t="e">
        <f>IF(W47&lt;=6.5,VLOOKUP(W47,頭囲データ!$C$10:$E$85,2,TRUE),NA())</f>
        <v>#N/A</v>
      </c>
      <c r="AF47" s="82" t="e">
        <f>IF(W47&lt;=6.5,VLOOKUP(W47,頭囲データ!$C$10:$E$85,3,TRUE),NA())</f>
        <v>#N/A</v>
      </c>
      <c r="AG47" s="89" t="str">
        <f>入力!F47&amp;"y"&amp;入力!G47&amp;"m"</f>
        <v>ym</v>
      </c>
      <c r="AH47" s="89" t="e">
        <f>IF(AND(入力!W47&gt;=1,入力!W47&lt;6,入力!B47&gt;=70,入力!B47&lt;=120),入力!B47,NA())</f>
        <v>#N/A</v>
      </c>
      <c r="AI47" s="89" t="e">
        <f>IF(AND(入力!W47&gt;=1,入力!W47&lt;6,入力!B47&gt;=70,入力!B47&lt;=120),入力!X47,NA())</f>
        <v>#N/A</v>
      </c>
      <c r="AJ47" s="89" t="e">
        <f>IF(AND(入力!W47&gt;=6,入力!B47&gt;=100,入力!B47&lt;=184),入力!B47,NA())</f>
        <v>#N/A</v>
      </c>
      <c r="AK47" s="89" t="e">
        <f>IF(AND(入力!W47&gt;=6,入力!B47&gt;=100,入力!B47&lt;=184),入力!X47,NA())</f>
        <v>#N/A</v>
      </c>
      <c r="AL47" s="82" t="e">
        <f t="shared" si="45"/>
        <v>#N/A</v>
      </c>
      <c r="AM47" s="82"/>
      <c r="AN47" s="80" t="e">
        <f t="shared" si="46"/>
        <v>#N/A</v>
      </c>
      <c r="AO47" s="80" t="e">
        <f t="shared" si="47"/>
        <v>#N/A</v>
      </c>
      <c r="AP47" s="81" t="e">
        <f t="shared" si="48"/>
        <v>#N/A</v>
      </c>
      <c r="AQ47" s="81" t="e">
        <f t="shared" si="49"/>
        <v>#VALUE!</v>
      </c>
      <c r="AR47" s="81" t="e">
        <f t="shared" si="50"/>
        <v>#N/A</v>
      </c>
      <c r="AS47" s="81" t="e">
        <f t="shared" si="51"/>
        <v>#N/A</v>
      </c>
      <c r="AT47" s="81" t="e">
        <f t="shared" si="52"/>
        <v>#N/A</v>
      </c>
      <c r="AU47" s="81" t="e">
        <f t="shared" si="53"/>
        <v>#N/A</v>
      </c>
      <c r="AV47" s="81" t="e">
        <f t="shared" si="54"/>
        <v>#N/A</v>
      </c>
      <c r="AW47" s="81" t="e">
        <f t="shared" si="55"/>
        <v>#N/A</v>
      </c>
      <c r="AX47" s="81" t="e">
        <f t="shared" si="56"/>
        <v>#N/A</v>
      </c>
      <c r="AY47" s="81" t="e">
        <f>VLOOKUP($W47,頭囲データ!$R$10:$W$11,3,TRUE)*$W47^3+VLOOKUP($W47,頭囲データ!$R$10:$W$11,4,TRUE)*$W47^2+VLOOKUP($W47,頭囲データ!$R$10:$W$11,5,TRUE)*$W47+VLOOKUP($W47,頭囲データ!$R$10:$W$11,6,TRUE)</f>
        <v>#N/A</v>
      </c>
      <c r="AZ47" s="81" t="e">
        <f>VLOOKUP($W47,頭囲データ!$R$12:$W$16,3,TRUE)*$W47^3+VLOOKUP($W47,頭囲データ!$R$12:$W$16,4,TRUE)*$W47^2+VLOOKUP($W47,頭囲データ!$R$12:$W$16,5,TRUE)*$W47+VLOOKUP($W47,頭囲データ!$R$12:$W$16,6,TRUE)</f>
        <v>#N/A</v>
      </c>
      <c r="BA47" s="81" t="e">
        <f>VLOOKUP($W47,頭囲データ!$R$17:$W$18,3,TRUE)*$W47^3+VLOOKUP($W47,頭囲データ!$R$17:$W$18,4,TRUE)*$W47^2+VLOOKUP($W47,頭囲データ!$R$17:$W$18,5,TRUE)*$W47+VLOOKUP($W47,頭囲データ!$R$17:$W$18,6,TRUE)</f>
        <v>#N/A</v>
      </c>
      <c r="BB47" s="81" t="e">
        <f t="shared" si="57"/>
        <v>#N/A</v>
      </c>
      <c r="BC47" s="81" t="e">
        <f>VLOOKUP($W47,胸囲データ!$R$10:$W$11,3,TRUE)*$W47^3+VLOOKUP($W47,胸囲データ!$R$10:$W$11,4,TRUE)*$W47^2+VLOOKUP($W47,胸囲データ!$R$10:$W$11,5,TRUE)*$W47+VLOOKUP($W47,胸囲データ!$R$10:$W$11,6,TRUE)</f>
        <v>#N/A</v>
      </c>
      <c r="BD47" s="81" t="e">
        <f>VLOOKUP($W47,胸囲データ!$R$12:$W$16,3,TRUE)*$W47^3+VLOOKUP($W47,胸囲データ!$R$12:$W$16,4,TRUE)*$W47^2+VLOOKUP($W47,胸囲データ!$R$12:$W$16,5,TRUE)*$W47+VLOOKUP($W47,胸囲データ!$R$12:$W$16,6,TRUE)</f>
        <v>#N/A</v>
      </c>
      <c r="BE47" s="81" t="e">
        <f>VLOOKUP($W47,胸囲データ!$R$17:$W$18,3,TRUE)*$W47^3+VLOOKUP($W47,胸囲データ!$R$17:$W$18,4,TRUE)*$W47^2+VLOOKUP($W47,胸囲データ!$R$17:$W$18,5,TRUE)*$W47+VLOOKUP($W47,胸囲データ!$R$17:$W$18,6,TRUE)</f>
        <v>#N/A</v>
      </c>
    </row>
    <row r="48" spans="1:57" x14ac:dyDescent="0.15">
      <c r="A48" s="35"/>
      <c r="B48" s="36"/>
      <c r="C48" s="36"/>
      <c r="D48" s="49"/>
      <c r="E48" s="76"/>
      <c r="F48" s="51" t="str">
        <f t="shared" si="29"/>
        <v/>
      </c>
      <c r="G48" s="37" t="str">
        <f t="shared" si="33"/>
        <v/>
      </c>
      <c r="H48" s="38" t="str">
        <f>IF(ISERROR(W48),"",VLOOKUP(W48,成長曲線_データ!$D$4:$AC$214,3,TRUE))</f>
        <v/>
      </c>
      <c r="I48" s="39" t="str">
        <f t="shared" si="34"/>
        <v/>
      </c>
      <c r="J48" s="39" t="str">
        <f t="shared" si="35"/>
        <v/>
      </c>
      <c r="K48" s="39" t="str">
        <f t="shared" si="36"/>
        <v/>
      </c>
      <c r="L48" s="39" t="str">
        <f t="shared" si="32"/>
        <v/>
      </c>
      <c r="M48" s="39" t="str">
        <f t="shared" si="27"/>
        <v/>
      </c>
      <c r="N48" s="39" t="str">
        <f t="shared" si="37"/>
        <v/>
      </c>
      <c r="O48" s="40" t="str">
        <f t="shared" si="38"/>
        <v/>
      </c>
      <c r="P48" s="40" t="str">
        <f t="shared" si="39"/>
        <v/>
      </c>
      <c r="Q48" s="39" t="str">
        <f t="shared" si="8"/>
        <v/>
      </c>
      <c r="R48" s="39" t="str">
        <f t="shared" si="40"/>
        <v/>
      </c>
      <c r="S48" s="39" t="str">
        <f t="shared" si="10"/>
        <v/>
      </c>
      <c r="T48" s="41" t="str">
        <f t="shared" si="41"/>
        <v/>
      </c>
      <c r="V48" s="90"/>
      <c r="W48" s="79" t="e">
        <f t="shared" si="42"/>
        <v>#N/A</v>
      </c>
      <c r="X48" s="79" t="e">
        <f t="shared" si="43"/>
        <v>#N/A</v>
      </c>
      <c r="Y48" s="80" t="e">
        <f>IF(W48="","",VLOOKUP(W48,成長曲線_データ!$D$4:$AC$214,4,TRUE))</f>
        <v>#N/A</v>
      </c>
      <c r="Z48" s="80" t="e">
        <f>IF(W48="","",VLOOKUP(W48,成長曲線_データ!$D$4:$AC$214,12,TRUE))</f>
        <v>#N/A</v>
      </c>
      <c r="AA48" s="81" t="e">
        <f>IF(W48="","",VLOOKUP(W48,成長曲線_データ!$D$4:$AC$214,13,TRUE))</f>
        <v>#N/A</v>
      </c>
      <c r="AB48" s="94" t="e">
        <f t="shared" si="44"/>
        <v>#N/A</v>
      </c>
      <c r="AC48" s="82" t="e">
        <f>IF(W48&lt;0.5,NA(),VLOOKUP((W48+1/8),成長曲線_データ!$V$4:$AA$73,2,TRUE))</f>
        <v>#N/A</v>
      </c>
      <c r="AD48" s="82" t="e">
        <f>IF(W48&lt;1,NA(),VLOOKUP(W48,成長曲線_データ!$V$4:$AA$73,3,TRUE))</f>
        <v>#N/A</v>
      </c>
      <c r="AE48" s="82" t="e">
        <f>IF(W48&lt;=6.5,VLOOKUP(W48,頭囲データ!$C$10:$E$85,2,TRUE),NA())</f>
        <v>#N/A</v>
      </c>
      <c r="AF48" s="82" t="e">
        <f>IF(W48&lt;=6.5,VLOOKUP(W48,頭囲データ!$C$10:$E$85,3,TRUE),NA())</f>
        <v>#N/A</v>
      </c>
      <c r="AG48" s="89" t="str">
        <f>入力!F48&amp;"y"&amp;入力!G48&amp;"m"</f>
        <v>ym</v>
      </c>
      <c r="AH48" s="89" t="e">
        <f>IF(AND(入力!W48&gt;=1,入力!W48&lt;6,入力!B48&gt;=70,入力!B48&lt;=120),入力!B48,NA())</f>
        <v>#N/A</v>
      </c>
      <c r="AI48" s="89" t="e">
        <f>IF(AND(入力!W48&gt;=1,入力!W48&lt;6,入力!B48&gt;=70,入力!B48&lt;=120),入力!X48,NA())</f>
        <v>#N/A</v>
      </c>
      <c r="AJ48" s="89" t="e">
        <f>IF(AND(入力!W48&gt;=6,入力!B48&gt;=100,入力!B48&lt;=184),入力!B48,NA())</f>
        <v>#N/A</v>
      </c>
      <c r="AK48" s="89" t="e">
        <f>IF(AND(入力!W48&gt;=6,入力!B48&gt;=100,入力!B48&lt;=184),入力!X48,NA())</f>
        <v>#N/A</v>
      </c>
      <c r="AL48" s="82" t="e">
        <f t="shared" si="45"/>
        <v>#N/A</v>
      </c>
      <c r="AM48" s="82"/>
      <c r="AN48" s="80" t="e">
        <f t="shared" si="46"/>
        <v>#N/A</v>
      </c>
      <c r="AO48" s="80" t="e">
        <f t="shared" si="47"/>
        <v>#N/A</v>
      </c>
      <c r="AP48" s="81" t="e">
        <f t="shared" si="48"/>
        <v>#N/A</v>
      </c>
      <c r="AQ48" s="81" t="e">
        <f t="shared" si="49"/>
        <v>#VALUE!</v>
      </c>
      <c r="AR48" s="81" t="e">
        <f t="shared" si="50"/>
        <v>#N/A</v>
      </c>
      <c r="AS48" s="81" t="e">
        <f t="shared" si="51"/>
        <v>#N/A</v>
      </c>
      <c r="AT48" s="81" t="e">
        <f t="shared" si="52"/>
        <v>#N/A</v>
      </c>
      <c r="AU48" s="81" t="e">
        <f t="shared" si="53"/>
        <v>#N/A</v>
      </c>
      <c r="AV48" s="81" t="e">
        <f t="shared" si="54"/>
        <v>#N/A</v>
      </c>
      <c r="AW48" s="81" t="e">
        <f t="shared" si="55"/>
        <v>#N/A</v>
      </c>
      <c r="AX48" s="81" t="e">
        <f t="shared" si="56"/>
        <v>#N/A</v>
      </c>
      <c r="AY48" s="81" t="e">
        <f>VLOOKUP($W48,頭囲データ!$R$10:$W$11,3,TRUE)*$W48^3+VLOOKUP($W48,頭囲データ!$R$10:$W$11,4,TRUE)*$W48^2+VLOOKUP($W48,頭囲データ!$R$10:$W$11,5,TRUE)*$W48+VLOOKUP($W48,頭囲データ!$R$10:$W$11,6,TRUE)</f>
        <v>#N/A</v>
      </c>
      <c r="AZ48" s="81" t="e">
        <f>VLOOKUP($W48,頭囲データ!$R$12:$W$16,3,TRUE)*$W48^3+VLOOKUP($W48,頭囲データ!$R$12:$W$16,4,TRUE)*$W48^2+VLOOKUP($W48,頭囲データ!$R$12:$W$16,5,TRUE)*$W48+VLOOKUP($W48,頭囲データ!$R$12:$W$16,6,TRUE)</f>
        <v>#N/A</v>
      </c>
      <c r="BA48" s="81" t="e">
        <f>VLOOKUP($W48,頭囲データ!$R$17:$W$18,3,TRUE)*$W48^3+VLOOKUP($W48,頭囲データ!$R$17:$W$18,4,TRUE)*$W48^2+VLOOKUP($W48,頭囲データ!$R$17:$W$18,5,TRUE)*$W48+VLOOKUP($W48,頭囲データ!$R$17:$W$18,6,TRUE)</f>
        <v>#N/A</v>
      </c>
      <c r="BB48" s="81" t="e">
        <f t="shared" si="57"/>
        <v>#N/A</v>
      </c>
      <c r="BC48" s="81" t="e">
        <f>VLOOKUP($W48,胸囲データ!$R$10:$W$11,3,TRUE)*$W48^3+VLOOKUP($W48,胸囲データ!$R$10:$W$11,4,TRUE)*$W48^2+VLOOKUP($W48,胸囲データ!$R$10:$W$11,5,TRUE)*$W48+VLOOKUP($W48,胸囲データ!$R$10:$W$11,6,TRUE)</f>
        <v>#N/A</v>
      </c>
      <c r="BD48" s="81" t="e">
        <f>VLOOKUP($W48,胸囲データ!$R$12:$W$16,3,TRUE)*$W48^3+VLOOKUP($W48,胸囲データ!$R$12:$W$16,4,TRUE)*$W48^2+VLOOKUP($W48,胸囲データ!$R$12:$W$16,5,TRUE)*$W48+VLOOKUP($W48,胸囲データ!$R$12:$W$16,6,TRUE)</f>
        <v>#N/A</v>
      </c>
      <c r="BE48" s="81" t="e">
        <f>VLOOKUP($W48,胸囲データ!$R$17:$W$18,3,TRUE)*$W48^3+VLOOKUP($W48,胸囲データ!$R$17:$W$18,4,TRUE)*$W48^2+VLOOKUP($W48,胸囲データ!$R$17:$W$18,5,TRUE)*$W48+VLOOKUP($W48,胸囲データ!$R$17:$W$18,6,TRUE)</f>
        <v>#N/A</v>
      </c>
    </row>
    <row r="49" spans="1:57" x14ac:dyDescent="0.15">
      <c r="A49" s="35"/>
      <c r="B49" s="36"/>
      <c r="C49" s="36"/>
      <c r="D49" s="49"/>
      <c r="E49" s="76"/>
      <c r="F49" s="51" t="str">
        <f t="shared" si="29"/>
        <v/>
      </c>
      <c r="G49" s="37" t="str">
        <f t="shared" si="33"/>
        <v/>
      </c>
      <c r="H49" s="38" t="str">
        <f>IF(ISERROR(W49),"",VLOOKUP(W49,成長曲線_データ!$D$4:$AC$214,3,TRUE))</f>
        <v/>
      </c>
      <c r="I49" s="39" t="str">
        <f t="shared" si="34"/>
        <v/>
      </c>
      <c r="J49" s="39" t="str">
        <f t="shared" si="35"/>
        <v/>
      </c>
      <c r="K49" s="39" t="str">
        <f t="shared" si="36"/>
        <v/>
      </c>
      <c r="L49" s="39" t="str">
        <f t="shared" si="32"/>
        <v/>
      </c>
      <c r="M49" s="39" t="str">
        <f t="shared" si="27"/>
        <v/>
      </c>
      <c r="N49" s="39" t="str">
        <f t="shared" si="37"/>
        <v/>
      </c>
      <c r="O49" s="40" t="str">
        <f t="shared" si="38"/>
        <v/>
      </c>
      <c r="P49" s="40" t="str">
        <f t="shared" si="39"/>
        <v/>
      </c>
      <c r="Q49" s="39" t="str">
        <f t="shared" si="8"/>
        <v/>
      </c>
      <c r="R49" s="39" t="str">
        <f t="shared" si="40"/>
        <v/>
      </c>
      <c r="S49" s="39" t="str">
        <f t="shared" si="10"/>
        <v/>
      </c>
      <c r="T49" s="41" t="str">
        <f t="shared" si="41"/>
        <v/>
      </c>
      <c r="V49" s="90"/>
      <c r="W49" s="79" t="e">
        <f t="shared" si="42"/>
        <v>#N/A</v>
      </c>
      <c r="X49" s="79" t="e">
        <f t="shared" si="43"/>
        <v>#N/A</v>
      </c>
      <c r="Y49" s="80" t="e">
        <f>IF(W49="","",VLOOKUP(W49,成長曲線_データ!$D$4:$AC$214,4,TRUE))</f>
        <v>#N/A</v>
      </c>
      <c r="Z49" s="80" t="e">
        <f>IF(W49="","",VLOOKUP(W49,成長曲線_データ!$D$4:$AC$214,12,TRUE))</f>
        <v>#N/A</v>
      </c>
      <c r="AA49" s="81" t="e">
        <f>IF(W49="","",VLOOKUP(W49,成長曲線_データ!$D$4:$AC$214,13,TRUE))</f>
        <v>#N/A</v>
      </c>
      <c r="AB49" s="94" t="e">
        <f t="shared" si="44"/>
        <v>#N/A</v>
      </c>
      <c r="AC49" s="82" t="e">
        <f>IF(W49&lt;0.5,NA(),VLOOKUP((W49+1/8),成長曲線_データ!$V$4:$AA$73,2,TRUE))</f>
        <v>#N/A</v>
      </c>
      <c r="AD49" s="82" t="e">
        <f>IF(W49&lt;1,NA(),VLOOKUP(W49,成長曲線_データ!$V$4:$AA$73,3,TRUE))</f>
        <v>#N/A</v>
      </c>
      <c r="AE49" s="82" t="e">
        <f>IF(W49&lt;=6.5,VLOOKUP(W49,頭囲データ!$C$10:$E$85,2,TRUE),NA())</f>
        <v>#N/A</v>
      </c>
      <c r="AF49" s="82" t="e">
        <f>IF(W49&lt;=6.5,VLOOKUP(W49,頭囲データ!$C$10:$E$85,3,TRUE),NA())</f>
        <v>#N/A</v>
      </c>
      <c r="AG49" s="89" t="str">
        <f>入力!F49&amp;"y"&amp;入力!G49&amp;"m"</f>
        <v>ym</v>
      </c>
      <c r="AH49" s="89" t="e">
        <f>IF(AND(入力!W49&gt;=1,入力!W49&lt;6,入力!B49&gt;=70,入力!B49&lt;=120),入力!B49,NA())</f>
        <v>#N/A</v>
      </c>
      <c r="AI49" s="89" t="e">
        <f>IF(AND(入力!W49&gt;=1,入力!W49&lt;6,入力!B49&gt;=70,入力!B49&lt;=120),入力!X49,NA())</f>
        <v>#N/A</v>
      </c>
      <c r="AJ49" s="89" t="e">
        <f>IF(AND(入力!W49&gt;=6,入力!B49&gt;=100,入力!B49&lt;=184),入力!B49,NA())</f>
        <v>#N/A</v>
      </c>
      <c r="AK49" s="89" t="e">
        <f>IF(AND(入力!W49&gt;=6,入力!B49&gt;=100,入力!B49&lt;=184),入力!X49,NA())</f>
        <v>#N/A</v>
      </c>
      <c r="AL49" s="82" t="e">
        <f t="shared" si="45"/>
        <v>#N/A</v>
      </c>
      <c r="AM49" s="82"/>
      <c r="AN49" s="80" t="e">
        <f t="shared" si="46"/>
        <v>#N/A</v>
      </c>
      <c r="AO49" s="80" t="e">
        <f t="shared" si="47"/>
        <v>#N/A</v>
      </c>
      <c r="AP49" s="81" t="e">
        <f t="shared" si="48"/>
        <v>#N/A</v>
      </c>
      <c r="AQ49" s="81" t="e">
        <f t="shared" si="49"/>
        <v>#VALUE!</v>
      </c>
      <c r="AR49" s="81" t="e">
        <f t="shared" si="50"/>
        <v>#N/A</v>
      </c>
      <c r="AS49" s="81" t="e">
        <f t="shared" si="51"/>
        <v>#N/A</v>
      </c>
      <c r="AT49" s="81" t="e">
        <f t="shared" si="52"/>
        <v>#N/A</v>
      </c>
      <c r="AU49" s="81" t="e">
        <f t="shared" si="53"/>
        <v>#N/A</v>
      </c>
      <c r="AV49" s="81" t="e">
        <f t="shared" si="54"/>
        <v>#N/A</v>
      </c>
      <c r="AW49" s="81" t="e">
        <f t="shared" si="55"/>
        <v>#N/A</v>
      </c>
      <c r="AX49" s="81" t="e">
        <f t="shared" si="56"/>
        <v>#N/A</v>
      </c>
      <c r="AY49" s="81" t="e">
        <f>VLOOKUP($W49,頭囲データ!$R$10:$W$11,3,TRUE)*$W49^3+VLOOKUP($W49,頭囲データ!$R$10:$W$11,4,TRUE)*$W49^2+VLOOKUP($W49,頭囲データ!$R$10:$W$11,5,TRUE)*$W49+VLOOKUP($W49,頭囲データ!$R$10:$W$11,6,TRUE)</f>
        <v>#N/A</v>
      </c>
      <c r="AZ49" s="81" t="e">
        <f>VLOOKUP($W49,頭囲データ!$R$12:$W$16,3,TRUE)*$W49^3+VLOOKUP($W49,頭囲データ!$R$12:$W$16,4,TRUE)*$W49^2+VLOOKUP($W49,頭囲データ!$R$12:$W$16,5,TRUE)*$W49+VLOOKUP($W49,頭囲データ!$R$12:$W$16,6,TRUE)</f>
        <v>#N/A</v>
      </c>
      <c r="BA49" s="81" t="e">
        <f>VLOOKUP($W49,頭囲データ!$R$17:$W$18,3,TRUE)*$W49^3+VLOOKUP($W49,頭囲データ!$R$17:$W$18,4,TRUE)*$W49^2+VLOOKUP($W49,頭囲データ!$R$17:$W$18,5,TRUE)*$W49+VLOOKUP($W49,頭囲データ!$R$17:$W$18,6,TRUE)</f>
        <v>#N/A</v>
      </c>
      <c r="BB49" s="81" t="e">
        <f t="shared" si="57"/>
        <v>#N/A</v>
      </c>
      <c r="BC49" s="81" t="e">
        <f>VLOOKUP($W49,胸囲データ!$R$10:$W$11,3,TRUE)*$W49^3+VLOOKUP($W49,胸囲データ!$R$10:$W$11,4,TRUE)*$W49^2+VLOOKUP($W49,胸囲データ!$R$10:$W$11,5,TRUE)*$W49+VLOOKUP($W49,胸囲データ!$R$10:$W$11,6,TRUE)</f>
        <v>#N/A</v>
      </c>
      <c r="BD49" s="81" t="e">
        <f>VLOOKUP($W49,胸囲データ!$R$12:$W$16,3,TRUE)*$W49^3+VLOOKUP($W49,胸囲データ!$R$12:$W$16,4,TRUE)*$W49^2+VLOOKUP($W49,胸囲データ!$R$12:$W$16,5,TRUE)*$W49+VLOOKUP($W49,胸囲データ!$R$12:$W$16,6,TRUE)</f>
        <v>#N/A</v>
      </c>
      <c r="BE49" s="81" t="e">
        <f>VLOOKUP($W49,胸囲データ!$R$17:$W$18,3,TRUE)*$W49^3+VLOOKUP($W49,胸囲データ!$R$17:$W$18,4,TRUE)*$W49^2+VLOOKUP($W49,胸囲データ!$R$17:$W$18,5,TRUE)*$W49+VLOOKUP($W49,胸囲データ!$R$17:$W$18,6,TRUE)</f>
        <v>#N/A</v>
      </c>
    </row>
    <row r="50" spans="1:57" x14ac:dyDescent="0.15">
      <c r="A50" s="35"/>
      <c r="B50" s="36"/>
      <c r="C50" s="36"/>
      <c r="D50" s="49"/>
      <c r="E50" s="76"/>
      <c r="F50" s="51" t="str">
        <f t="shared" si="29"/>
        <v/>
      </c>
      <c r="G50" s="37" t="str">
        <f t="shared" si="33"/>
        <v/>
      </c>
      <c r="H50" s="38" t="str">
        <f>IF(ISERROR(W50),"",VLOOKUP(W50,成長曲線_データ!$D$4:$AC$214,3,TRUE))</f>
        <v/>
      </c>
      <c r="I50" s="39" t="str">
        <f t="shared" si="34"/>
        <v/>
      </c>
      <c r="J50" s="39" t="str">
        <f t="shared" si="35"/>
        <v/>
      </c>
      <c r="K50" s="39" t="str">
        <f t="shared" si="36"/>
        <v/>
      </c>
      <c r="L50" s="39" t="str">
        <f t="shared" si="32"/>
        <v/>
      </c>
      <c r="M50" s="39" t="str">
        <f t="shared" si="27"/>
        <v/>
      </c>
      <c r="N50" s="39" t="str">
        <f t="shared" si="37"/>
        <v/>
      </c>
      <c r="O50" s="40" t="str">
        <f t="shared" si="38"/>
        <v/>
      </c>
      <c r="P50" s="40" t="str">
        <f t="shared" si="39"/>
        <v/>
      </c>
      <c r="Q50" s="39" t="str">
        <f t="shared" si="8"/>
        <v/>
      </c>
      <c r="R50" s="39" t="str">
        <f t="shared" si="40"/>
        <v/>
      </c>
      <c r="S50" s="39" t="str">
        <f t="shared" si="10"/>
        <v/>
      </c>
      <c r="T50" s="41" t="str">
        <f t="shared" si="41"/>
        <v/>
      </c>
      <c r="V50" s="90"/>
      <c r="W50" s="79" t="e">
        <f t="shared" si="42"/>
        <v>#N/A</v>
      </c>
      <c r="X50" s="79" t="e">
        <f t="shared" si="43"/>
        <v>#N/A</v>
      </c>
      <c r="Y50" s="80" t="e">
        <f>IF(W50="","",VLOOKUP(W50,成長曲線_データ!$D$4:$AC$214,4,TRUE))</f>
        <v>#N/A</v>
      </c>
      <c r="Z50" s="80" t="e">
        <f>IF(W50="","",VLOOKUP(W50,成長曲線_データ!$D$4:$AC$214,12,TRUE))</f>
        <v>#N/A</v>
      </c>
      <c r="AA50" s="81" t="e">
        <f>IF(W50="","",VLOOKUP(W50,成長曲線_データ!$D$4:$AC$214,13,TRUE))</f>
        <v>#N/A</v>
      </c>
      <c r="AB50" s="94" t="e">
        <f t="shared" si="44"/>
        <v>#N/A</v>
      </c>
      <c r="AC50" s="82" t="e">
        <f>IF(W50&lt;0.5,NA(),VLOOKUP((W50+1/8),成長曲線_データ!$V$4:$AA$73,2,TRUE))</f>
        <v>#N/A</v>
      </c>
      <c r="AD50" s="82" t="e">
        <f>IF(W50&lt;1,NA(),VLOOKUP(W50,成長曲線_データ!$V$4:$AA$73,3,TRUE))</f>
        <v>#N/A</v>
      </c>
      <c r="AE50" s="82" t="e">
        <f>IF(W50&lt;=6.5,VLOOKUP(W50,頭囲データ!$C$10:$E$85,2,TRUE),NA())</f>
        <v>#N/A</v>
      </c>
      <c r="AF50" s="82" t="e">
        <f>IF(W50&lt;=6.5,VLOOKUP(W50,頭囲データ!$C$10:$E$85,3,TRUE),NA())</f>
        <v>#N/A</v>
      </c>
      <c r="AG50" s="89" t="str">
        <f>入力!F50&amp;"y"&amp;入力!G50&amp;"m"</f>
        <v>ym</v>
      </c>
      <c r="AH50" s="89" t="e">
        <f>IF(AND(入力!W50&gt;=1,入力!W50&lt;6,入力!B50&gt;=70,入力!B50&lt;=120),入力!B50,NA())</f>
        <v>#N/A</v>
      </c>
      <c r="AI50" s="89" t="e">
        <f>IF(AND(入力!W50&gt;=1,入力!W50&lt;6,入力!B50&gt;=70,入力!B50&lt;=120),入力!X50,NA())</f>
        <v>#N/A</v>
      </c>
      <c r="AJ50" s="89" t="e">
        <f>IF(AND(入力!W50&gt;=6,入力!B50&gt;=100,入力!B50&lt;=184),入力!B50,NA())</f>
        <v>#N/A</v>
      </c>
      <c r="AK50" s="89" t="e">
        <f>IF(AND(入力!W50&gt;=6,入力!B50&gt;=100,入力!B50&lt;=184),入力!X50,NA())</f>
        <v>#N/A</v>
      </c>
      <c r="AL50" s="82" t="e">
        <f t="shared" si="45"/>
        <v>#N/A</v>
      </c>
      <c r="AM50" s="82"/>
      <c r="AN50" s="80" t="e">
        <f t="shared" si="46"/>
        <v>#N/A</v>
      </c>
      <c r="AO50" s="80" t="e">
        <f t="shared" si="47"/>
        <v>#N/A</v>
      </c>
      <c r="AP50" s="81" t="e">
        <f t="shared" si="48"/>
        <v>#N/A</v>
      </c>
      <c r="AQ50" s="81" t="e">
        <f t="shared" si="49"/>
        <v>#VALUE!</v>
      </c>
      <c r="AR50" s="81" t="e">
        <f t="shared" si="50"/>
        <v>#N/A</v>
      </c>
      <c r="AS50" s="81" t="e">
        <f t="shared" si="51"/>
        <v>#N/A</v>
      </c>
      <c r="AT50" s="81" t="e">
        <f t="shared" si="52"/>
        <v>#N/A</v>
      </c>
      <c r="AU50" s="81" t="e">
        <f t="shared" si="53"/>
        <v>#N/A</v>
      </c>
      <c r="AV50" s="81" t="e">
        <f t="shared" si="54"/>
        <v>#N/A</v>
      </c>
      <c r="AW50" s="81" t="e">
        <f t="shared" si="55"/>
        <v>#N/A</v>
      </c>
      <c r="AX50" s="81" t="e">
        <f t="shared" si="56"/>
        <v>#N/A</v>
      </c>
      <c r="AY50" s="81" t="e">
        <f>VLOOKUP($W50,頭囲データ!$R$10:$W$11,3,TRUE)*$W50^3+VLOOKUP($W50,頭囲データ!$R$10:$W$11,4,TRUE)*$W50^2+VLOOKUP($W50,頭囲データ!$R$10:$W$11,5,TRUE)*$W50+VLOOKUP($W50,頭囲データ!$R$10:$W$11,6,TRUE)</f>
        <v>#N/A</v>
      </c>
      <c r="AZ50" s="81" t="e">
        <f>VLOOKUP($W50,頭囲データ!$R$12:$W$16,3,TRUE)*$W50^3+VLOOKUP($W50,頭囲データ!$R$12:$W$16,4,TRUE)*$W50^2+VLOOKUP($W50,頭囲データ!$R$12:$W$16,5,TRUE)*$W50+VLOOKUP($W50,頭囲データ!$R$12:$W$16,6,TRUE)</f>
        <v>#N/A</v>
      </c>
      <c r="BA50" s="81" t="e">
        <f>VLOOKUP($W50,頭囲データ!$R$17:$W$18,3,TRUE)*$W50^3+VLOOKUP($W50,頭囲データ!$R$17:$W$18,4,TRUE)*$W50^2+VLOOKUP($W50,頭囲データ!$R$17:$W$18,5,TRUE)*$W50+VLOOKUP($W50,頭囲データ!$R$17:$W$18,6,TRUE)</f>
        <v>#N/A</v>
      </c>
      <c r="BB50" s="81" t="e">
        <f t="shared" si="57"/>
        <v>#N/A</v>
      </c>
      <c r="BC50" s="81" t="e">
        <f>VLOOKUP($W50,胸囲データ!$R$10:$W$11,3,TRUE)*$W50^3+VLOOKUP($W50,胸囲データ!$R$10:$W$11,4,TRUE)*$W50^2+VLOOKUP($W50,胸囲データ!$R$10:$W$11,5,TRUE)*$W50+VLOOKUP($W50,胸囲データ!$R$10:$W$11,6,TRUE)</f>
        <v>#N/A</v>
      </c>
      <c r="BD50" s="81" t="e">
        <f>VLOOKUP($W50,胸囲データ!$R$12:$W$16,3,TRUE)*$W50^3+VLOOKUP($W50,胸囲データ!$R$12:$W$16,4,TRUE)*$W50^2+VLOOKUP($W50,胸囲データ!$R$12:$W$16,5,TRUE)*$W50+VLOOKUP($W50,胸囲データ!$R$12:$W$16,6,TRUE)</f>
        <v>#N/A</v>
      </c>
      <c r="BE50" s="81" t="e">
        <f>VLOOKUP($W50,胸囲データ!$R$17:$W$18,3,TRUE)*$W50^3+VLOOKUP($W50,胸囲データ!$R$17:$W$18,4,TRUE)*$W50^2+VLOOKUP($W50,胸囲データ!$R$17:$W$18,5,TRUE)*$W50+VLOOKUP($W50,胸囲データ!$R$17:$W$18,6,TRUE)</f>
        <v>#N/A</v>
      </c>
    </row>
    <row r="51" spans="1:57" x14ac:dyDescent="0.15">
      <c r="A51" s="35"/>
      <c r="B51" s="36"/>
      <c r="C51" s="36"/>
      <c r="D51" s="49"/>
      <c r="E51" s="76"/>
      <c r="F51" s="51" t="str">
        <f t="shared" si="29"/>
        <v/>
      </c>
      <c r="G51" s="37" t="str">
        <f t="shared" si="33"/>
        <v/>
      </c>
      <c r="H51" s="38" t="str">
        <f>IF(ISERROR(W51),"",VLOOKUP(W51,成長曲線_データ!$D$4:$AC$214,3,TRUE))</f>
        <v/>
      </c>
      <c r="I51" s="39" t="str">
        <f t="shared" si="34"/>
        <v/>
      </c>
      <c r="J51" s="39" t="str">
        <f t="shared" si="35"/>
        <v/>
      </c>
      <c r="K51" s="39" t="str">
        <f t="shared" si="36"/>
        <v/>
      </c>
      <c r="L51" s="39" t="str">
        <f t="shared" si="32"/>
        <v/>
      </c>
      <c r="M51" s="39" t="str">
        <f t="shared" si="27"/>
        <v/>
      </c>
      <c r="N51" s="39" t="str">
        <f t="shared" si="37"/>
        <v/>
      </c>
      <c r="O51" s="40" t="str">
        <f t="shared" si="38"/>
        <v/>
      </c>
      <c r="P51" s="40" t="str">
        <f t="shared" si="39"/>
        <v/>
      </c>
      <c r="Q51" s="39" t="str">
        <f t="shared" si="8"/>
        <v/>
      </c>
      <c r="R51" s="39" t="str">
        <f t="shared" si="40"/>
        <v/>
      </c>
      <c r="S51" s="39" t="str">
        <f t="shared" si="10"/>
        <v/>
      </c>
      <c r="T51" s="41" t="str">
        <f t="shared" si="41"/>
        <v/>
      </c>
      <c r="V51" s="90"/>
      <c r="W51" s="79" t="e">
        <f t="shared" si="42"/>
        <v>#N/A</v>
      </c>
      <c r="X51" s="79" t="e">
        <f t="shared" si="43"/>
        <v>#N/A</v>
      </c>
      <c r="Y51" s="80" t="e">
        <f>IF(W51="","",VLOOKUP(W51,成長曲線_データ!$D$4:$AC$214,4,TRUE))</f>
        <v>#N/A</v>
      </c>
      <c r="Z51" s="80" t="e">
        <f>IF(W51="","",VLOOKUP(W51,成長曲線_データ!$D$4:$AC$214,12,TRUE))</f>
        <v>#N/A</v>
      </c>
      <c r="AA51" s="81" t="e">
        <f>IF(W51="","",VLOOKUP(W51,成長曲線_データ!$D$4:$AC$214,13,TRUE))</f>
        <v>#N/A</v>
      </c>
      <c r="AB51" s="94" t="e">
        <f t="shared" si="44"/>
        <v>#N/A</v>
      </c>
      <c r="AC51" s="82" t="e">
        <f>IF(W51&lt;0.5,NA(),VLOOKUP((W51+1/8),成長曲線_データ!$V$4:$AA$73,2,TRUE))</f>
        <v>#N/A</v>
      </c>
      <c r="AD51" s="82" t="e">
        <f>IF(W51&lt;1,NA(),VLOOKUP(W51,成長曲線_データ!$V$4:$AA$73,3,TRUE))</f>
        <v>#N/A</v>
      </c>
      <c r="AE51" s="82" t="e">
        <f>IF(W51&lt;=6.5,VLOOKUP(W51,頭囲データ!$C$10:$E$85,2,TRUE),NA())</f>
        <v>#N/A</v>
      </c>
      <c r="AF51" s="82" t="e">
        <f>IF(W51&lt;=6.5,VLOOKUP(W51,頭囲データ!$C$10:$E$85,3,TRUE),NA())</f>
        <v>#N/A</v>
      </c>
      <c r="AG51" s="89" t="str">
        <f>入力!F51&amp;"y"&amp;入力!G51&amp;"m"</f>
        <v>ym</v>
      </c>
      <c r="AH51" s="89" t="e">
        <f>IF(AND(入力!W51&gt;=1,入力!W51&lt;6,入力!B51&gt;=70,入力!B51&lt;=120),入力!B51,NA())</f>
        <v>#N/A</v>
      </c>
      <c r="AI51" s="89" t="e">
        <f>IF(AND(入力!W51&gt;=1,入力!W51&lt;6,入力!B51&gt;=70,入力!B51&lt;=120),入力!X51,NA())</f>
        <v>#N/A</v>
      </c>
      <c r="AJ51" s="89" t="e">
        <f>IF(AND(入力!W51&gt;=6,入力!B51&gt;=100,入力!B51&lt;=184),入力!B51,NA())</f>
        <v>#N/A</v>
      </c>
      <c r="AK51" s="89" t="e">
        <f>IF(AND(入力!W51&gt;=6,入力!B51&gt;=100,入力!B51&lt;=184),入力!X51,NA())</f>
        <v>#N/A</v>
      </c>
      <c r="AL51" s="82" t="e">
        <f t="shared" si="45"/>
        <v>#N/A</v>
      </c>
      <c r="AM51" s="82"/>
      <c r="AN51" s="80" t="e">
        <f t="shared" si="46"/>
        <v>#N/A</v>
      </c>
      <c r="AO51" s="80" t="e">
        <f t="shared" si="47"/>
        <v>#N/A</v>
      </c>
      <c r="AP51" s="81" t="e">
        <f t="shared" si="48"/>
        <v>#N/A</v>
      </c>
      <c r="AQ51" s="81" t="e">
        <f t="shared" si="49"/>
        <v>#VALUE!</v>
      </c>
      <c r="AR51" s="81" t="e">
        <f t="shared" si="50"/>
        <v>#N/A</v>
      </c>
      <c r="AS51" s="81" t="e">
        <f t="shared" si="51"/>
        <v>#N/A</v>
      </c>
      <c r="AT51" s="81" t="e">
        <f t="shared" si="52"/>
        <v>#N/A</v>
      </c>
      <c r="AU51" s="81" t="e">
        <f t="shared" si="53"/>
        <v>#N/A</v>
      </c>
      <c r="AV51" s="81" t="e">
        <f t="shared" si="54"/>
        <v>#N/A</v>
      </c>
      <c r="AW51" s="81" t="e">
        <f t="shared" si="55"/>
        <v>#N/A</v>
      </c>
      <c r="AX51" s="81" t="e">
        <f t="shared" si="56"/>
        <v>#N/A</v>
      </c>
      <c r="AY51" s="81" t="e">
        <f>VLOOKUP($W51,頭囲データ!$R$10:$W$11,3,TRUE)*$W51^3+VLOOKUP($W51,頭囲データ!$R$10:$W$11,4,TRUE)*$W51^2+VLOOKUP($W51,頭囲データ!$R$10:$W$11,5,TRUE)*$W51+VLOOKUP($W51,頭囲データ!$R$10:$W$11,6,TRUE)</f>
        <v>#N/A</v>
      </c>
      <c r="AZ51" s="81" t="e">
        <f>VLOOKUP($W51,頭囲データ!$R$12:$W$16,3,TRUE)*$W51^3+VLOOKUP($W51,頭囲データ!$R$12:$W$16,4,TRUE)*$W51^2+VLOOKUP($W51,頭囲データ!$R$12:$W$16,5,TRUE)*$W51+VLOOKUP($W51,頭囲データ!$R$12:$W$16,6,TRUE)</f>
        <v>#N/A</v>
      </c>
      <c r="BA51" s="81" t="e">
        <f>VLOOKUP($W51,頭囲データ!$R$17:$W$18,3,TRUE)*$W51^3+VLOOKUP($W51,頭囲データ!$R$17:$W$18,4,TRUE)*$W51^2+VLOOKUP($W51,頭囲データ!$R$17:$W$18,5,TRUE)*$W51+VLOOKUP($W51,頭囲データ!$R$17:$W$18,6,TRUE)</f>
        <v>#N/A</v>
      </c>
      <c r="BB51" s="81" t="e">
        <f t="shared" si="57"/>
        <v>#N/A</v>
      </c>
      <c r="BC51" s="81" t="e">
        <f>VLOOKUP($W51,胸囲データ!$R$10:$W$11,3,TRUE)*$W51^3+VLOOKUP($W51,胸囲データ!$R$10:$W$11,4,TRUE)*$W51^2+VLOOKUP($W51,胸囲データ!$R$10:$W$11,5,TRUE)*$W51+VLOOKUP($W51,胸囲データ!$R$10:$W$11,6,TRUE)</f>
        <v>#N/A</v>
      </c>
      <c r="BD51" s="81" t="e">
        <f>VLOOKUP($W51,胸囲データ!$R$12:$W$16,3,TRUE)*$W51^3+VLOOKUP($W51,胸囲データ!$R$12:$W$16,4,TRUE)*$W51^2+VLOOKUP($W51,胸囲データ!$R$12:$W$16,5,TRUE)*$W51+VLOOKUP($W51,胸囲データ!$R$12:$W$16,6,TRUE)</f>
        <v>#N/A</v>
      </c>
      <c r="BE51" s="81" t="e">
        <f>VLOOKUP($W51,胸囲データ!$R$17:$W$18,3,TRUE)*$W51^3+VLOOKUP($W51,胸囲データ!$R$17:$W$18,4,TRUE)*$W51^2+VLOOKUP($W51,胸囲データ!$R$17:$W$18,5,TRUE)*$W51+VLOOKUP($W51,胸囲データ!$R$17:$W$18,6,TRUE)</f>
        <v>#N/A</v>
      </c>
    </row>
    <row r="52" spans="1:57" x14ac:dyDescent="0.15">
      <c r="A52" s="35"/>
      <c r="B52" s="36"/>
      <c r="C52" s="36"/>
      <c r="D52" s="49"/>
      <c r="E52" s="76"/>
      <c r="F52" s="51" t="str">
        <f t="shared" si="29"/>
        <v/>
      </c>
      <c r="G52" s="37" t="str">
        <f t="shared" si="33"/>
        <v/>
      </c>
      <c r="H52" s="38" t="str">
        <f>IF(ISERROR(W52),"",VLOOKUP(W52,成長曲線_データ!$D$4:$AC$214,3,TRUE))</f>
        <v/>
      </c>
      <c r="I52" s="39" t="str">
        <f t="shared" si="34"/>
        <v/>
      </c>
      <c r="J52" s="39" t="str">
        <f t="shared" si="35"/>
        <v/>
      </c>
      <c r="K52" s="39" t="str">
        <f t="shared" si="36"/>
        <v/>
      </c>
      <c r="L52" s="39" t="str">
        <f t="shared" si="32"/>
        <v/>
      </c>
      <c r="M52" s="39" t="str">
        <f t="shared" si="27"/>
        <v/>
      </c>
      <c r="N52" s="39" t="str">
        <f t="shared" si="37"/>
        <v/>
      </c>
      <c r="O52" s="40" t="str">
        <f t="shared" si="38"/>
        <v/>
      </c>
      <c r="P52" s="40" t="str">
        <f t="shared" si="39"/>
        <v/>
      </c>
      <c r="Q52" s="39" t="str">
        <f t="shared" si="8"/>
        <v/>
      </c>
      <c r="R52" s="39" t="str">
        <f t="shared" si="40"/>
        <v/>
      </c>
      <c r="S52" s="39" t="str">
        <f t="shared" si="10"/>
        <v/>
      </c>
      <c r="T52" s="41" t="str">
        <f t="shared" si="41"/>
        <v/>
      </c>
      <c r="V52" s="90"/>
      <c r="W52" s="79" t="e">
        <f t="shared" si="42"/>
        <v>#N/A</v>
      </c>
      <c r="X52" s="79" t="e">
        <f t="shared" si="43"/>
        <v>#N/A</v>
      </c>
      <c r="Y52" s="80" t="e">
        <f>IF(W52="","",VLOOKUP(W52,成長曲線_データ!$D$4:$AC$214,4,TRUE))</f>
        <v>#N/A</v>
      </c>
      <c r="Z52" s="80" t="e">
        <f>IF(W52="","",VLOOKUP(W52,成長曲線_データ!$D$4:$AC$214,12,TRUE))</f>
        <v>#N/A</v>
      </c>
      <c r="AA52" s="81" t="e">
        <f>IF(W52="","",VLOOKUP(W52,成長曲線_データ!$D$4:$AC$214,13,TRUE))</f>
        <v>#N/A</v>
      </c>
      <c r="AB52" s="94" t="e">
        <f t="shared" si="44"/>
        <v>#N/A</v>
      </c>
      <c r="AC52" s="82" t="e">
        <f>IF(W52&lt;0.5,NA(),VLOOKUP((W52+1/8),成長曲線_データ!$V$4:$AA$73,2,TRUE))</f>
        <v>#N/A</v>
      </c>
      <c r="AD52" s="82" t="e">
        <f>IF(W52&lt;1,NA(),VLOOKUP(W52,成長曲線_データ!$V$4:$AA$73,3,TRUE))</f>
        <v>#N/A</v>
      </c>
      <c r="AE52" s="82" t="e">
        <f>IF(W52&lt;=6.5,VLOOKUP(W52,頭囲データ!$C$10:$E$85,2,TRUE),NA())</f>
        <v>#N/A</v>
      </c>
      <c r="AF52" s="82" t="e">
        <f>IF(W52&lt;=6.5,VLOOKUP(W52,頭囲データ!$C$10:$E$85,3,TRUE),NA())</f>
        <v>#N/A</v>
      </c>
      <c r="AG52" s="89" t="str">
        <f>入力!F52&amp;"y"&amp;入力!G52&amp;"m"</f>
        <v>ym</v>
      </c>
      <c r="AH52" s="89" t="e">
        <f>IF(AND(入力!W52&gt;=1,入力!W52&lt;6,入力!B52&gt;=70,入力!B52&lt;=120),入力!B52,NA())</f>
        <v>#N/A</v>
      </c>
      <c r="AI52" s="89" t="e">
        <f>IF(AND(入力!W52&gt;=1,入力!W52&lt;6,入力!B52&gt;=70,入力!B52&lt;=120),入力!X52,NA())</f>
        <v>#N/A</v>
      </c>
      <c r="AJ52" s="89" t="e">
        <f>IF(AND(入力!W52&gt;=6,入力!B52&gt;=100,入力!B52&lt;=184),入力!B52,NA())</f>
        <v>#N/A</v>
      </c>
      <c r="AK52" s="89" t="e">
        <f>IF(AND(入力!W52&gt;=6,入力!B52&gt;=100,入力!B52&lt;=184),入力!X52,NA())</f>
        <v>#N/A</v>
      </c>
      <c r="AL52" s="82" t="e">
        <f t="shared" si="45"/>
        <v>#N/A</v>
      </c>
      <c r="AM52" s="82"/>
      <c r="AN52" s="80" t="e">
        <f t="shared" si="46"/>
        <v>#N/A</v>
      </c>
      <c r="AO52" s="80" t="e">
        <f t="shared" si="47"/>
        <v>#N/A</v>
      </c>
      <c r="AP52" s="81" t="e">
        <f t="shared" si="48"/>
        <v>#N/A</v>
      </c>
      <c r="AQ52" s="81" t="e">
        <f t="shared" si="49"/>
        <v>#VALUE!</v>
      </c>
      <c r="AR52" s="81" t="e">
        <f t="shared" si="50"/>
        <v>#N/A</v>
      </c>
      <c r="AS52" s="81" t="e">
        <f t="shared" si="51"/>
        <v>#N/A</v>
      </c>
      <c r="AT52" s="81" t="e">
        <f t="shared" si="52"/>
        <v>#N/A</v>
      </c>
      <c r="AU52" s="81" t="e">
        <f t="shared" si="53"/>
        <v>#N/A</v>
      </c>
      <c r="AV52" s="81" t="e">
        <f t="shared" si="54"/>
        <v>#N/A</v>
      </c>
      <c r="AW52" s="81" t="e">
        <f t="shared" si="55"/>
        <v>#N/A</v>
      </c>
      <c r="AX52" s="81" t="e">
        <f t="shared" si="56"/>
        <v>#N/A</v>
      </c>
      <c r="AY52" s="81" t="e">
        <f>VLOOKUP($W52,頭囲データ!$R$10:$W$11,3,TRUE)*$W52^3+VLOOKUP($W52,頭囲データ!$R$10:$W$11,4,TRUE)*$W52^2+VLOOKUP($W52,頭囲データ!$R$10:$W$11,5,TRUE)*$W52+VLOOKUP($W52,頭囲データ!$R$10:$W$11,6,TRUE)</f>
        <v>#N/A</v>
      </c>
      <c r="AZ52" s="81" t="e">
        <f>VLOOKUP($W52,頭囲データ!$R$12:$W$16,3,TRUE)*$W52^3+VLOOKUP($W52,頭囲データ!$R$12:$W$16,4,TRUE)*$W52^2+VLOOKUP($W52,頭囲データ!$R$12:$W$16,5,TRUE)*$W52+VLOOKUP($W52,頭囲データ!$R$12:$W$16,6,TRUE)</f>
        <v>#N/A</v>
      </c>
      <c r="BA52" s="81" t="e">
        <f>VLOOKUP($W52,頭囲データ!$R$17:$W$18,3,TRUE)*$W52^3+VLOOKUP($W52,頭囲データ!$R$17:$W$18,4,TRUE)*$W52^2+VLOOKUP($W52,頭囲データ!$R$17:$W$18,5,TRUE)*$W52+VLOOKUP($W52,頭囲データ!$R$17:$W$18,6,TRUE)</f>
        <v>#N/A</v>
      </c>
      <c r="BB52" s="81" t="e">
        <f t="shared" si="57"/>
        <v>#N/A</v>
      </c>
      <c r="BC52" s="81" t="e">
        <f>VLOOKUP($W52,胸囲データ!$R$10:$W$11,3,TRUE)*$W52^3+VLOOKUP($W52,胸囲データ!$R$10:$W$11,4,TRUE)*$W52^2+VLOOKUP($W52,胸囲データ!$R$10:$W$11,5,TRUE)*$W52+VLOOKUP($W52,胸囲データ!$R$10:$W$11,6,TRUE)</f>
        <v>#N/A</v>
      </c>
      <c r="BD52" s="81" t="e">
        <f>VLOOKUP($W52,胸囲データ!$R$12:$W$16,3,TRUE)*$W52^3+VLOOKUP($W52,胸囲データ!$R$12:$W$16,4,TRUE)*$W52^2+VLOOKUP($W52,胸囲データ!$R$12:$W$16,5,TRUE)*$W52+VLOOKUP($W52,胸囲データ!$R$12:$W$16,6,TRUE)</f>
        <v>#N/A</v>
      </c>
      <c r="BE52" s="81" t="e">
        <f>VLOOKUP($W52,胸囲データ!$R$17:$W$18,3,TRUE)*$W52^3+VLOOKUP($W52,胸囲データ!$R$17:$W$18,4,TRUE)*$W52^2+VLOOKUP($W52,胸囲データ!$R$17:$W$18,5,TRUE)*$W52+VLOOKUP($W52,胸囲データ!$R$17:$W$18,6,TRUE)</f>
        <v>#N/A</v>
      </c>
    </row>
    <row r="53" spans="1:57" x14ac:dyDescent="0.15">
      <c r="A53" s="35"/>
      <c r="B53" s="36"/>
      <c r="C53" s="36"/>
      <c r="D53" s="49"/>
      <c r="E53" s="76"/>
      <c r="F53" s="51" t="str">
        <f t="shared" si="29"/>
        <v/>
      </c>
      <c r="G53" s="37" t="str">
        <f t="shared" si="33"/>
        <v/>
      </c>
      <c r="H53" s="38" t="str">
        <f>IF(ISERROR(W53),"",VLOOKUP(W53,成長曲線_データ!$D$4:$AC$214,3,TRUE))</f>
        <v/>
      </c>
      <c r="I53" s="39" t="str">
        <f t="shared" si="34"/>
        <v/>
      </c>
      <c r="J53" s="39" t="str">
        <f t="shared" si="35"/>
        <v/>
      </c>
      <c r="K53" s="39" t="str">
        <f t="shared" si="36"/>
        <v/>
      </c>
      <c r="L53" s="39" t="str">
        <f t="shared" si="32"/>
        <v/>
      </c>
      <c r="M53" s="39" t="str">
        <f t="shared" si="27"/>
        <v/>
      </c>
      <c r="N53" s="39" t="str">
        <f t="shared" si="37"/>
        <v/>
      </c>
      <c r="O53" s="40" t="str">
        <f t="shared" si="38"/>
        <v/>
      </c>
      <c r="P53" s="40" t="str">
        <f t="shared" si="39"/>
        <v/>
      </c>
      <c r="Q53" s="39" t="str">
        <f t="shared" si="8"/>
        <v/>
      </c>
      <c r="R53" s="39" t="str">
        <f t="shared" si="40"/>
        <v/>
      </c>
      <c r="S53" s="39" t="str">
        <f t="shared" si="10"/>
        <v/>
      </c>
      <c r="T53" s="41" t="str">
        <f t="shared" si="41"/>
        <v/>
      </c>
      <c r="V53" s="90"/>
      <c r="W53" s="79" t="e">
        <f t="shared" si="42"/>
        <v>#N/A</v>
      </c>
      <c r="X53" s="79" t="e">
        <f t="shared" si="43"/>
        <v>#N/A</v>
      </c>
      <c r="Y53" s="80" t="e">
        <f>IF(W53="","",VLOOKUP(W53,成長曲線_データ!$D$4:$AC$214,4,TRUE))</f>
        <v>#N/A</v>
      </c>
      <c r="Z53" s="80" t="e">
        <f>IF(W53="","",VLOOKUP(W53,成長曲線_データ!$D$4:$AC$214,12,TRUE))</f>
        <v>#N/A</v>
      </c>
      <c r="AA53" s="81" t="e">
        <f>IF(W53="","",VLOOKUP(W53,成長曲線_データ!$D$4:$AC$214,13,TRUE))</f>
        <v>#N/A</v>
      </c>
      <c r="AB53" s="94" t="e">
        <f t="shared" si="44"/>
        <v>#N/A</v>
      </c>
      <c r="AC53" s="82" t="e">
        <f>IF(W53&lt;0.5,NA(),VLOOKUP((W53+1/8),成長曲線_データ!$V$4:$AA$73,2,TRUE))</f>
        <v>#N/A</v>
      </c>
      <c r="AD53" s="82" t="e">
        <f>IF(W53&lt;1,NA(),VLOOKUP(W53,成長曲線_データ!$V$4:$AA$73,3,TRUE))</f>
        <v>#N/A</v>
      </c>
      <c r="AE53" s="82" t="e">
        <f>IF(W53&lt;=6.5,VLOOKUP(W53,頭囲データ!$C$10:$E$85,2,TRUE),NA())</f>
        <v>#N/A</v>
      </c>
      <c r="AF53" s="82" t="e">
        <f>IF(W53&lt;=6.5,VLOOKUP(W53,頭囲データ!$C$10:$E$85,3,TRUE),NA())</f>
        <v>#N/A</v>
      </c>
      <c r="AG53" s="89" t="str">
        <f>入力!F53&amp;"y"&amp;入力!G53&amp;"m"</f>
        <v>ym</v>
      </c>
      <c r="AH53" s="89" t="e">
        <f>IF(AND(入力!W53&gt;=1,入力!W53&lt;6,入力!B53&gt;=70,入力!B53&lt;=120),入力!B53,NA())</f>
        <v>#N/A</v>
      </c>
      <c r="AI53" s="89" t="e">
        <f>IF(AND(入力!W53&gt;=1,入力!W53&lt;6,入力!B53&gt;=70,入力!B53&lt;=120),入力!X53,NA())</f>
        <v>#N/A</v>
      </c>
      <c r="AJ53" s="89" t="e">
        <f>IF(AND(入力!W53&gt;=6,入力!B53&gt;=100,入力!B53&lt;=184),入力!B53,NA())</f>
        <v>#N/A</v>
      </c>
      <c r="AK53" s="89" t="e">
        <f>IF(AND(入力!W53&gt;=6,入力!B53&gt;=100,入力!B53&lt;=184),入力!X53,NA())</f>
        <v>#N/A</v>
      </c>
      <c r="AL53" s="82" t="e">
        <f t="shared" si="45"/>
        <v>#N/A</v>
      </c>
      <c r="AM53" s="82"/>
      <c r="AN53" s="80" t="e">
        <f t="shared" si="46"/>
        <v>#N/A</v>
      </c>
      <c r="AO53" s="80" t="e">
        <f t="shared" si="47"/>
        <v>#N/A</v>
      </c>
      <c r="AP53" s="81" t="e">
        <f t="shared" si="48"/>
        <v>#N/A</v>
      </c>
      <c r="AQ53" s="81" t="e">
        <f t="shared" si="49"/>
        <v>#VALUE!</v>
      </c>
      <c r="AR53" s="81" t="e">
        <f t="shared" si="50"/>
        <v>#N/A</v>
      </c>
      <c r="AS53" s="81" t="e">
        <f t="shared" si="51"/>
        <v>#N/A</v>
      </c>
      <c r="AT53" s="81" t="e">
        <f t="shared" si="52"/>
        <v>#N/A</v>
      </c>
      <c r="AU53" s="81" t="e">
        <f t="shared" si="53"/>
        <v>#N/A</v>
      </c>
      <c r="AV53" s="81" t="e">
        <f t="shared" si="54"/>
        <v>#N/A</v>
      </c>
      <c r="AW53" s="81" t="e">
        <f t="shared" si="55"/>
        <v>#N/A</v>
      </c>
      <c r="AX53" s="81" t="e">
        <f t="shared" si="56"/>
        <v>#N/A</v>
      </c>
      <c r="AY53" s="81" t="e">
        <f>VLOOKUP($W53,頭囲データ!$R$10:$W$11,3,TRUE)*$W53^3+VLOOKUP($W53,頭囲データ!$R$10:$W$11,4,TRUE)*$W53^2+VLOOKUP($W53,頭囲データ!$R$10:$W$11,5,TRUE)*$W53+VLOOKUP($W53,頭囲データ!$R$10:$W$11,6,TRUE)</f>
        <v>#N/A</v>
      </c>
      <c r="AZ53" s="81" t="e">
        <f>VLOOKUP($W53,頭囲データ!$R$12:$W$16,3,TRUE)*$W53^3+VLOOKUP($W53,頭囲データ!$R$12:$W$16,4,TRUE)*$W53^2+VLOOKUP($W53,頭囲データ!$R$12:$W$16,5,TRUE)*$W53+VLOOKUP($W53,頭囲データ!$R$12:$W$16,6,TRUE)</f>
        <v>#N/A</v>
      </c>
      <c r="BA53" s="81" t="e">
        <f>VLOOKUP($W53,頭囲データ!$R$17:$W$18,3,TRUE)*$W53^3+VLOOKUP($W53,頭囲データ!$R$17:$W$18,4,TRUE)*$W53^2+VLOOKUP($W53,頭囲データ!$R$17:$W$18,5,TRUE)*$W53+VLOOKUP($W53,頭囲データ!$R$17:$W$18,6,TRUE)</f>
        <v>#N/A</v>
      </c>
      <c r="BB53" s="81" t="e">
        <f t="shared" si="57"/>
        <v>#N/A</v>
      </c>
      <c r="BC53" s="81" t="e">
        <f>VLOOKUP($W53,胸囲データ!$R$10:$W$11,3,TRUE)*$W53^3+VLOOKUP($W53,胸囲データ!$R$10:$W$11,4,TRUE)*$W53^2+VLOOKUP($W53,胸囲データ!$R$10:$W$11,5,TRUE)*$W53+VLOOKUP($W53,胸囲データ!$R$10:$W$11,6,TRUE)</f>
        <v>#N/A</v>
      </c>
      <c r="BD53" s="81" t="e">
        <f>VLOOKUP($W53,胸囲データ!$R$12:$W$16,3,TRUE)*$W53^3+VLOOKUP($W53,胸囲データ!$R$12:$W$16,4,TRUE)*$W53^2+VLOOKUP($W53,胸囲データ!$R$12:$W$16,5,TRUE)*$W53+VLOOKUP($W53,胸囲データ!$R$12:$W$16,6,TRUE)</f>
        <v>#N/A</v>
      </c>
      <c r="BE53" s="81" t="e">
        <f>VLOOKUP($W53,胸囲データ!$R$17:$W$18,3,TRUE)*$W53^3+VLOOKUP($W53,胸囲データ!$R$17:$W$18,4,TRUE)*$W53^2+VLOOKUP($W53,胸囲データ!$R$17:$W$18,5,TRUE)*$W53+VLOOKUP($W53,胸囲データ!$R$17:$W$18,6,TRUE)</f>
        <v>#N/A</v>
      </c>
    </row>
    <row r="54" spans="1:57" x14ac:dyDescent="0.15">
      <c r="A54" s="35"/>
      <c r="B54" s="36"/>
      <c r="C54" s="36"/>
      <c r="D54" s="49"/>
      <c r="E54" s="76"/>
      <c r="F54" s="51" t="str">
        <f t="shared" si="29"/>
        <v/>
      </c>
      <c r="G54" s="37" t="str">
        <f t="shared" si="33"/>
        <v/>
      </c>
      <c r="H54" s="38" t="str">
        <f>IF(ISERROR(W54),"",VLOOKUP(W54,成長曲線_データ!$D$4:$AC$214,3,TRUE))</f>
        <v/>
      </c>
      <c r="I54" s="39" t="str">
        <f t="shared" si="34"/>
        <v/>
      </c>
      <c r="J54" s="39" t="str">
        <f t="shared" si="35"/>
        <v/>
      </c>
      <c r="K54" s="39" t="str">
        <f t="shared" si="36"/>
        <v/>
      </c>
      <c r="L54" s="39" t="str">
        <f t="shared" si="32"/>
        <v/>
      </c>
      <c r="M54" s="39" t="str">
        <f t="shared" si="27"/>
        <v/>
      </c>
      <c r="N54" s="39" t="str">
        <f t="shared" si="37"/>
        <v/>
      </c>
      <c r="O54" s="40" t="str">
        <f t="shared" si="38"/>
        <v/>
      </c>
      <c r="P54" s="40" t="str">
        <f t="shared" si="39"/>
        <v/>
      </c>
      <c r="Q54" s="39" t="str">
        <f t="shared" si="8"/>
        <v/>
      </c>
      <c r="R54" s="39" t="str">
        <f t="shared" si="40"/>
        <v/>
      </c>
      <c r="S54" s="39" t="str">
        <f t="shared" si="10"/>
        <v/>
      </c>
      <c r="T54" s="41" t="str">
        <f t="shared" si="41"/>
        <v/>
      </c>
      <c r="V54" s="90"/>
      <c r="W54" s="79" t="e">
        <f t="shared" si="42"/>
        <v>#N/A</v>
      </c>
      <c r="X54" s="79" t="e">
        <f t="shared" si="43"/>
        <v>#N/A</v>
      </c>
      <c r="Y54" s="80" t="e">
        <f>IF(W54="","",VLOOKUP(W54,成長曲線_データ!$D$4:$AC$214,4,TRUE))</f>
        <v>#N/A</v>
      </c>
      <c r="Z54" s="80" t="e">
        <f>IF(W54="","",VLOOKUP(W54,成長曲線_データ!$D$4:$AC$214,12,TRUE))</f>
        <v>#N/A</v>
      </c>
      <c r="AA54" s="81" t="e">
        <f>IF(W54="","",VLOOKUP(W54,成長曲線_データ!$D$4:$AC$214,13,TRUE))</f>
        <v>#N/A</v>
      </c>
      <c r="AB54" s="94" t="e">
        <f t="shared" si="44"/>
        <v>#N/A</v>
      </c>
      <c r="AC54" s="82" t="e">
        <f>IF(W54&lt;0.5,NA(),VLOOKUP((W54+1/8),成長曲線_データ!$V$4:$AA$73,2,TRUE))</f>
        <v>#N/A</v>
      </c>
      <c r="AD54" s="82" t="e">
        <f>IF(W54&lt;1,NA(),VLOOKUP(W54,成長曲線_データ!$V$4:$AA$73,3,TRUE))</f>
        <v>#N/A</v>
      </c>
      <c r="AE54" s="82" t="e">
        <f>IF(W54&lt;=6.5,VLOOKUP(W54,頭囲データ!$C$10:$E$85,2,TRUE),NA())</f>
        <v>#N/A</v>
      </c>
      <c r="AF54" s="82" t="e">
        <f>IF(W54&lt;=6.5,VLOOKUP(W54,頭囲データ!$C$10:$E$85,3,TRUE),NA())</f>
        <v>#N/A</v>
      </c>
      <c r="AG54" s="89" t="str">
        <f>入力!F54&amp;"y"&amp;入力!G54&amp;"m"</f>
        <v>ym</v>
      </c>
      <c r="AH54" s="89" t="e">
        <f>IF(AND(入力!W54&gt;=1,入力!W54&lt;6,入力!B54&gt;=70,入力!B54&lt;=120),入力!B54,NA())</f>
        <v>#N/A</v>
      </c>
      <c r="AI54" s="89" t="e">
        <f>IF(AND(入力!W54&gt;=1,入力!W54&lt;6,入力!B54&gt;=70,入力!B54&lt;=120),入力!X54,NA())</f>
        <v>#N/A</v>
      </c>
      <c r="AJ54" s="89" t="e">
        <f>IF(AND(入力!W54&gt;=6,入力!B54&gt;=100,入力!B54&lt;=184),入力!B54,NA())</f>
        <v>#N/A</v>
      </c>
      <c r="AK54" s="89" t="e">
        <f>IF(AND(入力!W54&gt;=6,入力!B54&gt;=100,入力!B54&lt;=184),入力!X54,NA())</f>
        <v>#N/A</v>
      </c>
      <c r="AL54" s="82" t="e">
        <f t="shared" si="45"/>
        <v>#N/A</v>
      </c>
      <c r="AM54" s="82"/>
      <c r="AN54" s="80" t="e">
        <f t="shared" si="46"/>
        <v>#N/A</v>
      </c>
      <c r="AO54" s="80" t="e">
        <f t="shared" si="47"/>
        <v>#N/A</v>
      </c>
      <c r="AP54" s="81" t="e">
        <f t="shared" si="48"/>
        <v>#N/A</v>
      </c>
      <c r="AQ54" s="81" t="e">
        <f t="shared" si="49"/>
        <v>#VALUE!</v>
      </c>
      <c r="AR54" s="81" t="e">
        <f t="shared" si="50"/>
        <v>#N/A</v>
      </c>
      <c r="AS54" s="81" t="e">
        <f t="shared" si="51"/>
        <v>#N/A</v>
      </c>
      <c r="AT54" s="81" t="e">
        <f t="shared" si="52"/>
        <v>#N/A</v>
      </c>
      <c r="AU54" s="81" t="e">
        <f t="shared" si="53"/>
        <v>#N/A</v>
      </c>
      <c r="AV54" s="81" t="e">
        <f t="shared" si="54"/>
        <v>#N/A</v>
      </c>
      <c r="AW54" s="81" t="e">
        <f t="shared" si="55"/>
        <v>#N/A</v>
      </c>
      <c r="AX54" s="81" t="e">
        <f t="shared" si="56"/>
        <v>#N/A</v>
      </c>
      <c r="AY54" s="81" t="e">
        <f>VLOOKUP($W54,頭囲データ!$R$10:$W$11,3,TRUE)*$W54^3+VLOOKUP($W54,頭囲データ!$R$10:$W$11,4,TRUE)*$W54^2+VLOOKUP($W54,頭囲データ!$R$10:$W$11,5,TRUE)*$W54+VLOOKUP($W54,頭囲データ!$R$10:$W$11,6,TRUE)</f>
        <v>#N/A</v>
      </c>
      <c r="AZ54" s="81" t="e">
        <f>VLOOKUP($W54,頭囲データ!$R$12:$W$16,3,TRUE)*$W54^3+VLOOKUP($W54,頭囲データ!$R$12:$W$16,4,TRUE)*$W54^2+VLOOKUP($W54,頭囲データ!$R$12:$W$16,5,TRUE)*$W54+VLOOKUP($W54,頭囲データ!$R$12:$W$16,6,TRUE)</f>
        <v>#N/A</v>
      </c>
      <c r="BA54" s="81" t="e">
        <f>VLOOKUP($W54,頭囲データ!$R$17:$W$18,3,TRUE)*$W54^3+VLOOKUP($W54,頭囲データ!$R$17:$W$18,4,TRUE)*$W54^2+VLOOKUP($W54,頭囲データ!$R$17:$W$18,5,TRUE)*$W54+VLOOKUP($W54,頭囲データ!$R$17:$W$18,6,TRUE)</f>
        <v>#N/A</v>
      </c>
      <c r="BB54" s="81" t="e">
        <f t="shared" si="57"/>
        <v>#N/A</v>
      </c>
      <c r="BC54" s="81" t="e">
        <f>VLOOKUP($W54,胸囲データ!$R$10:$W$11,3,TRUE)*$W54^3+VLOOKUP($W54,胸囲データ!$R$10:$W$11,4,TRUE)*$W54^2+VLOOKUP($W54,胸囲データ!$R$10:$W$11,5,TRUE)*$W54+VLOOKUP($W54,胸囲データ!$R$10:$W$11,6,TRUE)</f>
        <v>#N/A</v>
      </c>
      <c r="BD54" s="81" t="e">
        <f>VLOOKUP($W54,胸囲データ!$R$12:$W$16,3,TRUE)*$W54^3+VLOOKUP($W54,胸囲データ!$R$12:$W$16,4,TRUE)*$W54^2+VLOOKUP($W54,胸囲データ!$R$12:$W$16,5,TRUE)*$W54+VLOOKUP($W54,胸囲データ!$R$12:$W$16,6,TRUE)</f>
        <v>#N/A</v>
      </c>
      <c r="BE54" s="81" t="e">
        <f>VLOOKUP($W54,胸囲データ!$R$17:$W$18,3,TRUE)*$W54^3+VLOOKUP($W54,胸囲データ!$R$17:$W$18,4,TRUE)*$W54^2+VLOOKUP($W54,胸囲データ!$R$17:$W$18,5,TRUE)*$W54+VLOOKUP($W54,胸囲データ!$R$17:$W$18,6,TRUE)</f>
        <v>#N/A</v>
      </c>
    </row>
    <row r="55" spans="1:57" x14ac:dyDescent="0.15">
      <c r="A55" s="35"/>
      <c r="B55" s="36"/>
      <c r="C55" s="36"/>
      <c r="D55" s="49"/>
      <c r="E55" s="76"/>
      <c r="F55" s="51" t="str">
        <f t="shared" si="29"/>
        <v/>
      </c>
      <c r="G55" s="37" t="str">
        <f t="shared" si="33"/>
        <v/>
      </c>
      <c r="H55" s="38" t="str">
        <f>IF(ISERROR(W55),"",VLOOKUP(W55,成長曲線_データ!$D$4:$AC$214,3,TRUE))</f>
        <v/>
      </c>
      <c r="I55" s="39" t="str">
        <f t="shared" si="34"/>
        <v/>
      </c>
      <c r="J55" s="39" t="str">
        <f t="shared" si="35"/>
        <v/>
      </c>
      <c r="K55" s="39" t="str">
        <f t="shared" si="36"/>
        <v/>
      </c>
      <c r="L55" s="39" t="str">
        <f t="shared" si="32"/>
        <v/>
      </c>
      <c r="M55" s="39" t="str">
        <f t="shared" si="27"/>
        <v/>
      </c>
      <c r="N55" s="39" t="str">
        <f t="shared" si="37"/>
        <v/>
      </c>
      <c r="O55" s="40" t="str">
        <f t="shared" si="38"/>
        <v/>
      </c>
      <c r="P55" s="40" t="str">
        <f t="shared" si="39"/>
        <v/>
      </c>
      <c r="Q55" s="39" t="str">
        <f t="shared" si="8"/>
        <v/>
      </c>
      <c r="R55" s="39" t="str">
        <f t="shared" si="40"/>
        <v/>
      </c>
      <c r="S55" s="39" t="str">
        <f t="shared" si="10"/>
        <v/>
      </c>
      <c r="T55" s="41" t="str">
        <f t="shared" si="41"/>
        <v/>
      </c>
      <c r="V55" s="90"/>
      <c r="W55" s="79" t="e">
        <f t="shared" si="42"/>
        <v>#N/A</v>
      </c>
      <c r="X55" s="79" t="e">
        <f t="shared" si="43"/>
        <v>#N/A</v>
      </c>
      <c r="Y55" s="80" t="e">
        <f>IF(W55="","",VLOOKUP(W55,成長曲線_データ!$D$4:$AC$214,4,TRUE))</f>
        <v>#N/A</v>
      </c>
      <c r="Z55" s="80" t="e">
        <f>IF(W55="","",VLOOKUP(W55,成長曲線_データ!$D$4:$AC$214,12,TRUE))</f>
        <v>#N/A</v>
      </c>
      <c r="AA55" s="81" t="e">
        <f>IF(W55="","",VLOOKUP(W55,成長曲線_データ!$D$4:$AC$214,13,TRUE))</f>
        <v>#N/A</v>
      </c>
      <c r="AB55" s="94" t="e">
        <f t="shared" si="44"/>
        <v>#N/A</v>
      </c>
      <c r="AC55" s="82" t="e">
        <f>IF(W55&lt;0.5,NA(),VLOOKUP((W55+1/8),成長曲線_データ!$V$4:$AA$73,2,TRUE))</f>
        <v>#N/A</v>
      </c>
      <c r="AD55" s="82" t="e">
        <f>IF(W55&lt;1,NA(),VLOOKUP(W55,成長曲線_データ!$V$4:$AA$73,3,TRUE))</f>
        <v>#N/A</v>
      </c>
      <c r="AE55" s="82" t="e">
        <f>IF(W55&lt;=6.5,VLOOKUP(W55,頭囲データ!$C$10:$E$85,2,TRUE),NA())</f>
        <v>#N/A</v>
      </c>
      <c r="AF55" s="82" t="e">
        <f>IF(W55&lt;=6.5,VLOOKUP(W55,頭囲データ!$C$10:$E$85,3,TRUE),NA())</f>
        <v>#N/A</v>
      </c>
      <c r="AG55" s="89" t="str">
        <f>入力!F55&amp;"y"&amp;入力!G55&amp;"m"</f>
        <v>ym</v>
      </c>
      <c r="AH55" s="89" t="e">
        <f>IF(AND(入力!W55&gt;=1,入力!W55&lt;6,入力!B55&gt;=70,入力!B55&lt;=120),入力!B55,NA())</f>
        <v>#N/A</v>
      </c>
      <c r="AI55" s="89" t="e">
        <f>IF(AND(入力!W55&gt;=1,入力!W55&lt;6,入力!B55&gt;=70,入力!B55&lt;=120),入力!X55,NA())</f>
        <v>#N/A</v>
      </c>
      <c r="AJ55" s="89" t="e">
        <f>IF(AND(入力!W55&gt;=6,入力!B55&gt;=100,入力!B55&lt;=184),入力!B55,NA())</f>
        <v>#N/A</v>
      </c>
      <c r="AK55" s="89" t="e">
        <f>IF(AND(入力!W55&gt;=6,入力!B55&gt;=100,入力!B55&lt;=184),入力!X55,NA())</f>
        <v>#N/A</v>
      </c>
      <c r="AL55" s="82" t="e">
        <f t="shared" si="45"/>
        <v>#N/A</v>
      </c>
      <c r="AM55" s="82"/>
      <c r="AN55" s="80" t="e">
        <f t="shared" si="46"/>
        <v>#N/A</v>
      </c>
      <c r="AO55" s="80" t="e">
        <f t="shared" si="47"/>
        <v>#N/A</v>
      </c>
      <c r="AP55" s="81" t="e">
        <f t="shared" si="48"/>
        <v>#N/A</v>
      </c>
      <c r="AQ55" s="81" t="e">
        <f t="shared" si="49"/>
        <v>#VALUE!</v>
      </c>
      <c r="AR55" s="81" t="e">
        <f t="shared" si="50"/>
        <v>#N/A</v>
      </c>
      <c r="AS55" s="81" t="e">
        <f t="shared" si="51"/>
        <v>#N/A</v>
      </c>
      <c r="AT55" s="81" t="e">
        <f t="shared" si="52"/>
        <v>#N/A</v>
      </c>
      <c r="AU55" s="81" t="e">
        <f t="shared" si="53"/>
        <v>#N/A</v>
      </c>
      <c r="AV55" s="81" t="e">
        <f t="shared" si="54"/>
        <v>#N/A</v>
      </c>
      <c r="AW55" s="81" t="e">
        <f t="shared" si="55"/>
        <v>#N/A</v>
      </c>
      <c r="AX55" s="81" t="e">
        <f t="shared" si="56"/>
        <v>#N/A</v>
      </c>
      <c r="AY55" s="81" t="e">
        <f>VLOOKUP($W55,頭囲データ!$R$10:$W$11,3,TRUE)*$W55^3+VLOOKUP($W55,頭囲データ!$R$10:$W$11,4,TRUE)*$W55^2+VLOOKUP($W55,頭囲データ!$R$10:$W$11,5,TRUE)*$W55+VLOOKUP($W55,頭囲データ!$R$10:$W$11,6,TRUE)</f>
        <v>#N/A</v>
      </c>
      <c r="AZ55" s="81" t="e">
        <f>VLOOKUP($W55,頭囲データ!$R$12:$W$16,3,TRUE)*$W55^3+VLOOKUP($W55,頭囲データ!$R$12:$W$16,4,TRUE)*$W55^2+VLOOKUP($W55,頭囲データ!$R$12:$W$16,5,TRUE)*$W55+VLOOKUP($W55,頭囲データ!$R$12:$W$16,6,TRUE)</f>
        <v>#N/A</v>
      </c>
      <c r="BA55" s="81" t="e">
        <f>VLOOKUP($W55,頭囲データ!$R$17:$W$18,3,TRUE)*$W55^3+VLOOKUP($W55,頭囲データ!$R$17:$W$18,4,TRUE)*$W55^2+VLOOKUP($W55,頭囲データ!$R$17:$W$18,5,TRUE)*$W55+VLOOKUP($W55,頭囲データ!$R$17:$W$18,6,TRUE)</f>
        <v>#N/A</v>
      </c>
      <c r="BB55" s="81" t="e">
        <f t="shared" si="57"/>
        <v>#N/A</v>
      </c>
      <c r="BC55" s="81" t="e">
        <f>VLOOKUP($W55,胸囲データ!$R$10:$W$11,3,TRUE)*$W55^3+VLOOKUP($W55,胸囲データ!$R$10:$W$11,4,TRUE)*$W55^2+VLOOKUP($W55,胸囲データ!$R$10:$W$11,5,TRUE)*$W55+VLOOKUP($W55,胸囲データ!$R$10:$W$11,6,TRUE)</f>
        <v>#N/A</v>
      </c>
      <c r="BD55" s="81" t="e">
        <f>VLOOKUP($W55,胸囲データ!$R$12:$W$16,3,TRUE)*$W55^3+VLOOKUP($W55,胸囲データ!$R$12:$W$16,4,TRUE)*$W55^2+VLOOKUP($W55,胸囲データ!$R$12:$W$16,5,TRUE)*$W55+VLOOKUP($W55,胸囲データ!$R$12:$W$16,6,TRUE)</f>
        <v>#N/A</v>
      </c>
      <c r="BE55" s="81" t="e">
        <f>VLOOKUP($W55,胸囲データ!$R$17:$W$18,3,TRUE)*$W55^3+VLOOKUP($W55,胸囲データ!$R$17:$W$18,4,TRUE)*$W55^2+VLOOKUP($W55,胸囲データ!$R$17:$W$18,5,TRUE)*$W55+VLOOKUP($W55,胸囲データ!$R$17:$W$18,6,TRUE)</f>
        <v>#N/A</v>
      </c>
    </row>
    <row r="56" spans="1:57" x14ac:dyDescent="0.15">
      <c r="A56" s="35"/>
      <c r="B56" s="36"/>
      <c r="C56" s="36"/>
      <c r="D56" s="49"/>
      <c r="E56" s="76"/>
      <c r="F56" s="51" t="str">
        <f t="shared" si="29"/>
        <v/>
      </c>
      <c r="G56" s="37" t="str">
        <f t="shared" si="33"/>
        <v/>
      </c>
      <c r="H56" s="38" t="str">
        <f>IF(ISERROR(W56),"",VLOOKUP(W56,成長曲線_データ!$D$4:$AC$214,3,TRUE))</f>
        <v/>
      </c>
      <c r="I56" s="39" t="str">
        <f t="shared" si="34"/>
        <v/>
      </c>
      <c r="J56" s="39" t="str">
        <f t="shared" si="35"/>
        <v/>
      </c>
      <c r="K56" s="39" t="str">
        <f t="shared" si="36"/>
        <v/>
      </c>
      <c r="L56" s="39" t="str">
        <f t="shared" si="32"/>
        <v/>
      </c>
      <c r="M56" s="39" t="str">
        <f t="shared" si="27"/>
        <v/>
      </c>
      <c r="N56" s="39" t="str">
        <f t="shared" si="37"/>
        <v/>
      </c>
      <c r="O56" s="40" t="str">
        <f t="shared" si="38"/>
        <v/>
      </c>
      <c r="P56" s="40" t="str">
        <f t="shared" si="39"/>
        <v/>
      </c>
      <c r="Q56" s="39" t="str">
        <f t="shared" si="8"/>
        <v/>
      </c>
      <c r="R56" s="39" t="str">
        <f t="shared" si="40"/>
        <v/>
      </c>
      <c r="S56" s="39" t="str">
        <f t="shared" si="10"/>
        <v/>
      </c>
      <c r="T56" s="41" t="str">
        <f t="shared" si="41"/>
        <v/>
      </c>
      <c r="V56" s="90"/>
      <c r="W56" s="79" t="e">
        <f t="shared" si="42"/>
        <v>#N/A</v>
      </c>
      <c r="X56" s="79" t="e">
        <f t="shared" si="43"/>
        <v>#N/A</v>
      </c>
      <c r="Y56" s="80" t="e">
        <f>IF(W56="","",VLOOKUP(W56,成長曲線_データ!$D$4:$AC$214,4,TRUE))</f>
        <v>#N/A</v>
      </c>
      <c r="Z56" s="80" t="e">
        <f>IF(W56="","",VLOOKUP(W56,成長曲線_データ!$D$4:$AC$214,12,TRUE))</f>
        <v>#N/A</v>
      </c>
      <c r="AA56" s="81" t="e">
        <f>IF(W56="","",VLOOKUP(W56,成長曲線_データ!$D$4:$AC$214,13,TRUE))</f>
        <v>#N/A</v>
      </c>
      <c r="AB56" s="94" t="e">
        <f t="shared" si="44"/>
        <v>#N/A</v>
      </c>
      <c r="AC56" s="82" t="e">
        <f>IF(W56&lt;0.5,NA(),VLOOKUP((W56+1/8),成長曲線_データ!$V$4:$AA$73,2,TRUE))</f>
        <v>#N/A</v>
      </c>
      <c r="AD56" s="82" t="e">
        <f>IF(W56&lt;1,NA(),VLOOKUP(W56,成長曲線_データ!$V$4:$AA$73,3,TRUE))</f>
        <v>#N/A</v>
      </c>
      <c r="AE56" s="82" t="e">
        <f>IF(W56&lt;=6.5,VLOOKUP(W56,頭囲データ!$C$10:$E$85,2,TRUE),NA())</f>
        <v>#N/A</v>
      </c>
      <c r="AF56" s="82" t="e">
        <f>IF(W56&lt;=6.5,VLOOKUP(W56,頭囲データ!$C$10:$E$85,3,TRUE),NA())</f>
        <v>#N/A</v>
      </c>
      <c r="AG56" s="89" t="str">
        <f>入力!F56&amp;"y"&amp;入力!G56&amp;"m"</f>
        <v>ym</v>
      </c>
      <c r="AH56" s="89" t="e">
        <f>IF(AND(入力!W56&gt;=1,入力!W56&lt;6,入力!B56&gt;=70,入力!B56&lt;=120),入力!B56,NA())</f>
        <v>#N/A</v>
      </c>
      <c r="AI56" s="89" t="e">
        <f>IF(AND(入力!W56&gt;=1,入力!W56&lt;6,入力!B56&gt;=70,入力!B56&lt;=120),入力!X56,NA())</f>
        <v>#N/A</v>
      </c>
      <c r="AJ56" s="89" t="e">
        <f>IF(AND(入力!W56&gt;=6,入力!B56&gt;=100,入力!B56&lt;=184),入力!B56,NA())</f>
        <v>#N/A</v>
      </c>
      <c r="AK56" s="89" t="e">
        <f>IF(AND(入力!W56&gt;=6,入力!B56&gt;=100,入力!B56&lt;=184),入力!X56,NA())</f>
        <v>#N/A</v>
      </c>
      <c r="AL56" s="82" t="e">
        <f t="shared" si="45"/>
        <v>#N/A</v>
      </c>
      <c r="AM56" s="82"/>
      <c r="AN56" s="80" t="e">
        <f t="shared" si="46"/>
        <v>#N/A</v>
      </c>
      <c r="AO56" s="80" t="e">
        <f t="shared" si="47"/>
        <v>#N/A</v>
      </c>
      <c r="AP56" s="81" t="e">
        <f t="shared" si="48"/>
        <v>#N/A</v>
      </c>
      <c r="AQ56" s="81" t="e">
        <f t="shared" si="49"/>
        <v>#VALUE!</v>
      </c>
      <c r="AR56" s="81" t="e">
        <f t="shared" si="50"/>
        <v>#N/A</v>
      </c>
      <c r="AS56" s="81" t="e">
        <f t="shared" si="51"/>
        <v>#N/A</v>
      </c>
      <c r="AT56" s="81" t="e">
        <f t="shared" si="52"/>
        <v>#N/A</v>
      </c>
      <c r="AU56" s="81" t="e">
        <f t="shared" si="53"/>
        <v>#N/A</v>
      </c>
      <c r="AV56" s="81" t="e">
        <f t="shared" si="54"/>
        <v>#N/A</v>
      </c>
      <c r="AW56" s="81" t="e">
        <f t="shared" si="55"/>
        <v>#N/A</v>
      </c>
      <c r="AX56" s="81" t="e">
        <f t="shared" si="56"/>
        <v>#N/A</v>
      </c>
      <c r="AY56" s="81" t="e">
        <f>VLOOKUP($W56,頭囲データ!$R$10:$W$11,3,TRUE)*$W56^3+VLOOKUP($W56,頭囲データ!$R$10:$W$11,4,TRUE)*$W56^2+VLOOKUP($W56,頭囲データ!$R$10:$W$11,5,TRUE)*$W56+VLOOKUP($W56,頭囲データ!$R$10:$W$11,6,TRUE)</f>
        <v>#N/A</v>
      </c>
      <c r="AZ56" s="81" t="e">
        <f>VLOOKUP($W56,頭囲データ!$R$12:$W$16,3,TRUE)*$W56^3+VLOOKUP($W56,頭囲データ!$R$12:$W$16,4,TRUE)*$W56^2+VLOOKUP($W56,頭囲データ!$R$12:$W$16,5,TRUE)*$W56+VLOOKUP($W56,頭囲データ!$R$12:$W$16,6,TRUE)</f>
        <v>#N/A</v>
      </c>
      <c r="BA56" s="81" t="e">
        <f>VLOOKUP($W56,頭囲データ!$R$17:$W$18,3,TRUE)*$W56^3+VLOOKUP($W56,頭囲データ!$R$17:$W$18,4,TRUE)*$W56^2+VLOOKUP($W56,頭囲データ!$R$17:$W$18,5,TRUE)*$W56+VLOOKUP($W56,頭囲データ!$R$17:$W$18,6,TRUE)</f>
        <v>#N/A</v>
      </c>
      <c r="BB56" s="81" t="e">
        <f t="shared" si="57"/>
        <v>#N/A</v>
      </c>
      <c r="BC56" s="81" t="e">
        <f>VLOOKUP($W56,胸囲データ!$R$10:$W$11,3,TRUE)*$W56^3+VLOOKUP($W56,胸囲データ!$R$10:$W$11,4,TRUE)*$W56^2+VLOOKUP($W56,胸囲データ!$R$10:$W$11,5,TRUE)*$W56+VLOOKUP($W56,胸囲データ!$R$10:$W$11,6,TRUE)</f>
        <v>#N/A</v>
      </c>
      <c r="BD56" s="81" t="e">
        <f>VLOOKUP($W56,胸囲データ!$R$12:$W$16,3,TRUE)*$W56^3+VLOOKUP($W56,胸囲データ!$R$12:$W$16,4,TRUE)*$W56^2+VLOOKUP($W56,胸囲データ!$R$12:$W$16,5,TRUE)*$W56+VLOOKUP($W56,胸囲データ!$R$12:$W$16,6,TRUE)</f>
        <v>#N/A</v>
      </c>
      <c r="BE56" s="81" t="e">
        <f>VLOOKUP($W56,胸囲データ!$R$17:$W$18,3,TRUE)*$W56^3+VLOOKUP($W56,胸囲データ!$R$17:$W$18,4,TRUE)*$W56^2+VLOOKUP($W56,胸囲データ!$R$17:$W$18,5,TRUE)*$W56+VLOOKUP($W56,胸囲データ!$R$17:$W$18,6,TRUE)</f>
        <v>#N/A</v>
      </c>
    </row>
    <row r="57" spans="1:57" x14ac:dyDescent="0.15">
      <c r="A57" s="35"/>
      <c r="B57" s="36"/>
      <c r="C57" s="36"/>
      <c r="D57" s="49"/>
      <c r="E57" s="76"/>
      <c r="F57" s="51" t="str">
        <f t="shared" si="29"/>
        <v/>
      </c>
      <c r="G57" s="37" t="str">
        <f t="shared" si="33"/>
        <v/>
      </c>
      <c r="H57" s="38" t="str">
        <f>IF(ISERROR(W57),"",VLOOKUP(W57,成長曲線_データ!$D$4:$AC$214,3,TRUE))</f>
        <v/>
      </c>
      <c r="I57" s="39" t="str">
        <f t="shared" si="34"/>
        <v/>
      </c>
      <c r="J57" s="39" t="str">
        <f t="shared" si="35"/>
        <v/>
      </c>
      <c r="K57" s="39" t="str">
        <f t="shared" si="36"/>
        <v/>
      </c>
      <c r="L57" s="39" t="str">
        <f t="shared" si="32"/>
        <v/>
      </c>
      <c r="M57" s="39" t="str">
        <f t="shared" si="27"/>
        <v/>
      </c>
      <c r="N57" s="39" t="str">
        <f t="shared" si="37"/>
        <v/>
      </c>
      <c r="O57" s="40" t="str">
        <f t="shared" si="38"/>
        <v/>
      </c>
      <c r="P57" s="40" t="str">
        <f t="shared" si="39"/>
        <v/>
      </c>
      <c r="Q57" s="39" t="str">
        <f t="shared" si="8"/>
        <v/>
      </c>
      <c r="R57" s="39" t="str">
        <f t="shared" si="40"/>
        <v/>
      </c>
      <c r="S57" s="39" t="str">
        <f t="shared" si="10"/>
        <v/>
      </c>
      <c r="T57" s="41" t="str">
        <f t="shared" si="41"/>
        <v/>
      </c>
      <c r="V57" s="90"/>
      <c r="W57" s="79" t="e">
        <f t="shared" si="42"/>
        <v>#N/A</v>
      </c>
      <c r="X57" s="79" t="e">
        <f t="shared" si="43"/>
        <v>#N/A</v>
      </c>
      <c r="Y57" s="80" t="e">
        <f>IF(W57="","",VLOOKUP(W57,成長曲線_データ!$D$4:$AC$214,4,TRUE))</f>
        <v>#N/A</v>
      </c>
      <c r="Z57" s="80" t="e">
        <f>IF(W57="","",VLOOKUP(W57,成長曲線_データ!$D$4:$AC$214,12,TRUE))</f>
        <v>#N/A</v>
      </c>
      <c r="AA57" s="81" t="e">
        <f>IF(W57="","",VLOOKUP(W57,成長曲線_データ!$D$4:$AC$214,13,TRUE))</f>
        <v>#N/A</v>
      </c>
      <c r="AB57" s="94" t="e">
        <f t="shared" si="44"/>
        <v>#N/A</v>
      </c>
      <c r="AC57" s="82" t="e">
        <f>IF(W57&lt;0.5,NA(),VLOOKUP((W57+1/8),成長曲線_データ!$V$4:$AA$73,2,TRUE))</f>
        <v>#N/A</v>
      </c>
      <c r="AD57" s="82" t="e">
        <f>IF(W57&lt;1,NA(),VLOOKUP(W57,成長曲線_データ!$V$4:$AA$73,3,TRUE))</f>
        <v>#N/A</v>
      </c>
      <c r="AE57" s="82" t="e">
        <f>IF(W57&lt;=6.5,VLOOKUP(W57,頭囲データ!$C$10:$E$85,2,TRUE),NA())</f>
        <v>#N/A</v>
      </c>
      <c r="AF57" s="82" t="e">
        <f>IF(W57&lt;=6.5,VLOOKUP(W57,頭囲データ!$C$10:$E$85,3,TRUE),NA())</f>
        <v>#N/A</v>
      </c>
      <c r="AG57" s="89" t="str">
        <f>入力!F57&amp;"y"&amp;入力!G57&amp;"m"</f>
        <v>ym</v>
      </c>
      <c r="AH57" s="89" t="e">
        <f>IF(AND(入力!W57&gt;=1,入力!W57&lt;6,入力!B57&gt;=70,入力!B57&lt;=120),入力!B57,NA())</f>
        <v>#N/A</v>
      </c>
      <c r="AI57" s="89" t="e">
        <f>IF(AND(入力!W57&gt;=1,入力!W57&lt;6,入力!B57&gt;=70,入力!B57&lt;=120),入力!X57,NA())</f>
        <v>#N/A</v>
      </c>
      <c r="AJ57" s="89" t="e">
        <f>IF(AND(入力!W57&gt;=6,入力!B57&gt;=100,入力!B57&lt;=184),入力!B57,NA())</f>
        <v>#N/A</v>
      </c>
      <c r="AK57" s="89" t="e">
        <f>IF(AND(入力!W57&gt;=6,入力!B57&gt;=100,入力!B57&lt;=184),入力!X57,NA())</f>
        <v>#N/A</v>
      </c>
      <c r="AL57" s="82" t="e">
        <f t="shared" si="45"/>
        <v>#N/A</v>
      </c>
      <c r="AM57" s="82"/>
      <c r="AN57" s="80" t="e">
        <f t="shared" si="46"/>
        <v>#N/A</v>
      </c>
      <c r="AO57" s="80" t="e">
        <f t="shared" si="47"/>
        <v>#N/A</v>
      </c>
      <c r="AP57" s="81" t="e">
        <f t="shared" si="48"/>
        <v>#N/A</v>
      </c>
      <c r="AQ57" s="81" t="e">
        <f t="shared" si="49"/>
        <v>#VALUE!</v>
      </c>
      <c r="AR57" s="81" t="e">
        <f t="shared" si="50"/>
        <v>#N/A</v>
      </c>
      <c r="AS57" s="81" t="e">
        <f t="shared" si="51"/>
        <v>#N/A</v>
      </c>
      <c r="AT57" s="81" t="e">
        <f t="shared" si="52"/>
        <v>#N/A</v>
      </c>
      <c r="AU57" s="81" t="e">
        <f t="shared" si="53"/>
        <v>#N/A</v>
      </c>
      <c r="AV57" s="81" t="e">
        <f t="shared" si="54"/>
        <v>#N/A</v>
      </c>
      <c r="AW57" s="81" t="e">
        <f t="shared" si="55"/>
        <v>#N/A</v>
      </c>
      <c r="AX57" s="81" t="e">
        <f t="shared" si="56"/>
        <v>#N/A</v>
      </c>
      <c r="AY57" s="81" t="e">
        <f>VLOOKUP($W57,頭囲データ!$R$10:$W$11,3,TRUE)*$W57^3+VLOOKUP($W57,頭囲データ!$R$10:$W$11,4,TRUE)*$W57^2+VLOOKUP($W57,頭囲データ!$R$10:$W$11,5,TRUE)*$W57+VLOOKUP($W57,頭囲データ!$R$10:$W$11,6,TRUE)</f>
        <v>#N/A</v>
      </c>
      <c r="AZ57" s="81" t="e">
        <f>VLOOKUP($W57,頭囲データ!$R$12:$W$16,3,TRUE)*$W57^3+VLOOKUP($W57,頭囲データ!$R$12:$W$16,4,TRUE)*$W57^2+VLOOKUP($W57,頭囲データ!$R$12:$W$16,5,TRUE)*$W57+VLOOKUP($W57,頭囲データ!$R$12:$W$16,6,TRUE)</f>
        <v>#N/A</v>
      </c>
      <c r="BA57" s="81" t="e">
        <f>VLOOKUP($W57,頭囲データ!$R$17:$W$18,3,TRUE)*$W57^3+VLOOKUP($W57,頭囲データ!$R$17:$W$18,4,TRUE)*$W57^2+VLOOKUP($W57,頭囲データ!$R$17:$W$18,5,TRUE)*$W57+VLOOKUP($W57,頭囲データ!$R$17:$W$18,6,TRUE)</f>
        <v>#N/A</v>
      </c>
      <c r="BB57" s="81" t="e">
        <f t="shared" si="57"/>
        <v>#N/A</v>
      </c>
      <c r="BC57" s="81" t="e">
        <f>VLOOKUP($W57,胸囲データ!$R$10:$W$11,3,TRUE)*$W57^3+VLOOKUP($W57,胸囲データ!$R$10:$W$11,4,TRUE)*$W57^2+VLOOKUP($W57,胸囲データ!$R$10:$W$11,5,TRUE)*$W57+VLOOKUP($W57,胸囲データ!$R$10:$W$11,6,TRUE)</f>
        <v>#N/A</v>
      </c>
      <c r="BD57" s="81" t="e">
        <f>VLOOKUP($W57,胸囲データ!$R$12:$W$16,3,TRUE)*$W57^3+VLOOKUP($W57,胸囲データ!$R$12:$W$16,4,TRUE)*$W57^2+VLOOKUP($W57,胸囲データ!$R$12:$W$16,5,TRUE)*$W57+VLOOKUP($W57,胸囲データ!$R$12:$W$16,6,TRUE)</f>
        <v>#N/A</v>
      </c>
      <c r="BE57" s="81" t="e">
        <f>VLOOKUP($W57,胸囲データ!$R$17:$W$18,3,TRUE)*$W57^3+VLOOKUP($W57,胸囲データ!$R$17:$W$18,4,TRUE)*$W57^2+VLOOKUP($W57,胸囲データ!$R$17:$W$18,5,TRUE)*$W57+VLOOKUP($W57,胸囲データ!$R$17:$W$18,6,TRUE)</f>
        <v>#N/A</v>
      </c>
    </row>
    <row r="58" spans="1:57" x14ac:dyDescent="0.15">
      <c r="A58" s="35"/>
      <c r="B58" s="36"/>
      <c r="C58" s="36"/>
      <c r="D58" s="49"/>
      <c r="E58" s="76"/>
      <c r="F58" s="51" t="str">
        <f t="shared" si="29"/>
        <v/>
      </c>
      <c r="G58" s="37" t="str">
        <f t="shared" si="33"/>
        <v/>
      </c>
      <c r="H58" s="38" t="str">
        <f>IF(ISERROR(W58),"",VLOOKUP(W58,成長曲線_データ!$D$4:$AC$214,3,TRUE))</f>
        <v/>
      </c>
      <c r="I58" s="39" t="str">
        <f t="shared" si="34"/>
        <v/>
      </c>
      <c r="J58" s="39" t="str">
        <f t="shared" si="35"/>
        <v/>
      </c>
      <c r="K58" s="39" t="str">
        <f t="shared" si="36"/>
        <v/>
      </c>
      <c r="L58" s="39" t="str">
        <f t="shared" si="32"/>
        <v/>
      </c>
      <c r="M58" s="39" t="str">
        <f t="shared" si="27"/>
        <v/>
      </c>
      <c r="N58" s="39" t="str">
        <f t="shared" si="37"/>
        <v/>
      </c>
      <c r="O58" s="40" t="str">
        <f t="shared" si="38"/>
        <v/>
      </c>
      <c r="P58" s="40" t="str">
        <f t="shared" si="39"/>
        <v/>
      </c>
      <c r="Q58" s="39" t="str">
        <f t="shared" si="8"/>
        <v/>
      </c>
      <c r="R58" s="39" t="str">
        <f t="shared" si="40"/>
        <v/>
      </c>
      <c r="S58" s="39" t="str">
        <f t="shared" si="10"/>
        <v/>
      </c>
      <c r="T58" s="41" t="str">
        <f t="shared" si="41"/>
        <v/>
      </c>
      <c r="V58" s="90"/>
      <c r="W58" s="79" t="e">
        <f t="shared" si="42"/>
        <v>#N/A</v>
      </c>
      <c r="X58" s="79" t="e">
        <f t="shared" si="43"/>
        <v>#N/A</v>
      </c>
      <c r="Y58" s="80" t="e">
        <f>IF(W58="","",VLOOKUP(W58,成長曲線_データ!$D$4:$AC$214,4,TRUE))</f>
        <v>#N/A</v>
      </c>
      <c r="Z58" s="80" t="e">
        <f>IF(W58="","",VLOOKUP(W58,成長曲線_データ!$D$4:$AC$214,12,TRUE))</f>
        <v>#N/A</v>
      </c>
      <c r="AA58" s="81" t="e">
        <f>IF(W58="","",VLOOKUP(W58,成長曲線_データ!$D$4:$AC$214,13,TRUE))</f>
        <v>#N/A</v>
      </c>
      <c r="AB58" s="94" t="e">
        <f t="shared" si="44"/>
        <v>#N/A</v>
      </c>
      <c r="AC58" s="82" t="e">
        <f>IF(W58&lt;0.5,NA(),VLOOKUP((W58+1/8),成長曲線_データ!$V$4:$AA$73,2,TRUE))</f>
        <v>#N/A</v>
      </c>
      <c r="AD58" s="82" t="e">
        <f>IF(W58&lt;1,NA(),VLOOKUP(W58,成長曲線_データ!$V$4:$AA$73,3,TRUE))</f>
        <v>#N/A</v>
      </c>
      <c r="AE58" s="82" t="e">
        <f>IF(W58&lt;=6.5,VLOOKUP(W58,頭囲データ!$C$10:$E$85,2,TRUE),NA())</f>
        <v>#N/A</v>
      </c>
      <c r="AF58" s="82" t="e">
        <f>IF(W58&lt;=6.5,VLOOKUP(W58,頭囲データ!$C$10:$E$85,3,TRUE),NA())</f>
        <v>#N/A</v>
      </c>
      <c r="AG58" s="89" t="str">
        <f>入力!F58&amp;"y"&amp;入力!G58&amp;"m"</f>
        <v>ym</v>
      </c>
      <c r="AH58" s="89" t="e">
        <f>IF(AND(入力!W58&gt;=1,入力!W58&lt;6,入力!B58&gt;=70,入力!B58&lt;=120),入力!B58,NA())</f>
        <v>#N/A</v>
      </c>
      <c r="AI58" s="89" t="e">
        <f>IF(AND(入力!W58&gt;=1,入力!W58&lt;6,入力!B58&gt;=70,入力!B58&lt;=120),入力!X58,NA())</f>
        <v>#N/A</v>
      </c>
      <c r="AJ58" s="89" t="e">
        <f>IF(AND(入力!W58&gt;=6,入力!B58&gt;=100,入力!B58&lt;=184),入力!B58,NA())</f>
        <v>#N/A</v>
      </c>
      <c r="AK58" s="89" t="e">
        <f>IF(AND(入力!W58&gt;=6,入力!B58&gt;=100,入力!B58&lt;=184),入力!X58,NA())</f>
        <v>#N/A</v>
      </c>
      <c r="AL58" s="82" t="e">
        <f t="shared" si="45"/>
        <v>#N/A</v>
      </c>
      <c r="AM58" s="82"/>
      <c r="AN58" s="80" t="e">
        <f t="shared" si="46"/>
        <v>#N/A</v>
      </c>
      <c r="AO58" s="80" t="e">
        <f t="shared" si="47"/>
        <v>#N/A</v>
      </c>
      <c r="AP58" s="81" t="e">
        <f t="shared" si="48"/>
        <v>#N/A</v>
      </c>
      <c r="AQ58" s="81" t="e">
        <f t="shared" si="49"/>
        <v>#VALUE!</v>
      </c>
      <c r="AR58" s="81" t="e">
        <f t="shared" si="50"/>
        <v>#N/A</v>
      </c>
      <c r="AS58" s="81" t="e">
        <f t="shared" si="51"/>
        <v>#N/A</v>
      </c>
      <c r="AT58" s="81" t="e">
        <f t="shared" si="52"/>
        <v>#N/A</v>
      </c>
      <c r="AU58" s="81" t="e">
        <f t="shared" si="53"/>
        <v>#N/A</v>
      </c>
      <c r="AV58" s="81" t="e">
        <f t="shared" si="54"/>
        <v>#N/A</v>
      </c>
      <c r="AW58" s="81" t="e">
        <f t="shared" si="55"/>
        <v>#N/A</v>
      </c>
      <c r="AX58" s="81" t="e">
        <f t="shared" si="56"/>
        <v>#N/A</v>
      </c>
      <c r="AY58" s="81" t="e">
        <f>VLOOKUP($W58,頭囲データ!$R$10:$W$11,3,TRUE)*$W58^3+VLOOKUP($W58,頭囲データ!$R$10:$W$11,4,TRUE)*$W58^2+VLOOKUP($W58,頭囲データ!$R$10:$W$11,5,TRUE)*$W58+VLOOKUP($W58,頭囲データ!$R$10:$W$11,6,TRUE)</f>
        <v>#N/A</v>
      </c>
      <c r="AZ58" s="81" t="e">
        <f>VLOOKUP($W58,頭囲データ!$R$12:$W$16,3,TRUE)*$W58^3+VLOOKUP($W58,頭囲データ!$R$12:$W$16,4,TRUE)*$W58^2+VLOOKUP($W58,頭囲データ!$R$12:$W$16,5,TRUE)*$W58+VLOOKUP($W58,頭囲データ!$R$12:$W$16,6,TRUE)</f>
        <v>#N/A</v>
      </c>
      <c r="BA58" s="81" t="e">
        <f>VLOOKUP($W58,頭囲データ!$R$17:$W$18,3,TRUE)*$W58^3+VLOOKUP($W58,頭囲データ!$R$17:$W$18,4,TRUE)*$W58^2+VLOOKUP($W58,頭囲データ!$R$17:$W$18,5,TRUE)*$W58+VLOOKUP($W58,頭囲データ!$R$17:$W$18,6,TRUE)</f>
        <v>#N/A</v>
      </c>
      <c r="BB58" s="81" t="e">
        <f t="shared" si="57"/>
        <v>#N/A</v>
      </c>
      <c r="BC58" s="81" t="e">
        <f>VLOOKUP($W58,胸囲データ!$R$10:$W$11,3,TRUE)*$W58^3+VLOOKUP($W58,胸囲データ!$R$10:$W$11,4,TRUE)*$W58^2+VLOOKUP($W58,胸囲データ!$R$10:$W$11,5,TRUE)*$W58+VLOOKUP($W58,胸囲データ!$R$10:$W$11,6,TRUE)</f>
        <v>#N/A</v>
      </c>
      <c r="BD58" s="81" t="e">
        <f>VLOOKUP($W58,胸囲データ!$R$12:$W$16,3,TRUE)*$W58^3+VLOOKUP($W58,胸囲データ!$R$12:$W$16,4,TRUE)*$W58^2+VLOOKUP($W58,胸囲データ!$R$12:$W$16,5,TRUE)*$W58+VLOOKUP($W58,胸囲データ!$R$12:$W$16,6,TRUE)</f>
        <v>#N/A</v>
      </c>
      <c r="BE58" s="81" t="e">
        <f>VLOOKUP($W58,胸囲データ!$R$17:$W$18,3,TRUE)*$W58^3+VLOOKUP($W58,胸囲データ!$R$17:$W$18,4,TRUE)*$W58^2+VLOOKUP($W58,胸囲データ!$R$17:$W$18,5,TRUE)*$W58+VLOOKUP($W58,胸囲データ!$R$17:$W$18,6,TRUE)</f>
        <v>#N/A</v>
      </c>
    </row>
    <row r="59" spans="1:57" x14ac:dyDescent="0.15">
      <c r="A59" s="35"/>
      <c r="B59" s="36"/>
      <c r="C59" s="36"/>
      <c r="D59" s="49"/>
      <c r="E59" s="76"/>
      <c r="F59" s="51" t="str">
        <f t="shared" si="29"/>
        <v/>
      </c>
      <c r="G59" s="37" t="str">
        <f t="shared" si="33"/>
        <v/>
      </c>
      <c r="H59" s="38" t="str">
        <f>IF(ISERROR(W59),"",VLOOKUP(W59,成長曲線_データ!$D$4:$AC$214,3,TRUE))</f>
        <v/>
      </c>
      <c r="I59" s="39" t="str">
        <f t="shared" si="34"/>
        <v/>
      </c>
      <c r="J59" s="39" t="str">
        <f t="shared" si="35"/>
        <v/>
      </c>
      <c r="K59" s="39" t="str">
        <f t="shared" si="36"/>
        <v/>
      </c>
      <c r="L59" s="39" t="str">
        <f t="shared" si="32"/>
        <v/>
      </c>
      <c r="M59" s="39" t="str">
        <f t="shared" si="27"/>
        <v/>
      </c>
      <c r="N59" s="39" t="str">
        <f t="shared" si="37"/>
        <v/>
      </c>
      <c r="O59" s="40" t="str">
        <f t="shared" si="38"/>
        <v/>
      </c>
      <c r="P59" s="40" t="str">
        <f t="shared" si="39"/>
        <v/>
      </c>
      <c r="Q59" s="39" t="str">
        <f t="shared" si="8"/>
        <v/>
      </c>
      <c r="R59" s="39" t="str">
        <f t="shared" si="40"/>
        <v/>
      </c>
      <c r="S59" s="39" t="str">
        <f t="shared" si="10"/>
        <v/>
      </c>
      <c r="T59" s="41" t="str">
        <f t="shared" si="41"/>
        <v/>
      </c>
      <c r="V59" s="90"/>
      <c r="W59" s="79" t="e">
        <f t="shared" si="42"/>
        <v>#N/A</v>
      </c>
      <c r="X59" s="79" t="e">
        <f t="shared" si="43"/>
        <v>#N/A</v>
      </c>
      <c r="Y59" s="80" t="e">
        <f>IF(W59="","",VLOOKUP(W59,成長曲線_データ!$D$4:$AC$214,4,TRUE))</f>
        <v>#N/A</v>
      </c>
      <c r="Z59" s="80" t="e">
        <f>IF(W59="","",VLOOKUP(W59,成長曲線_データ!$D$4:$AC$214,12,TRUE))</f>
        <v>#N/A</v>
      </c>
      <c r="AA59" s="81" t="e">
        <f>IF(W59="","",VLOOKUP(W59,成長曲線_データ!$D$4:$AC$214,13,TRUE))</f>
        <v>#N/A</v>
      </c>
      <c r="AB59" s="94" t="e">
        <f t="shared" si="44"/>
        <v>#N/A</v>
      </c>
      <c r="AC59" s="82" t="e">
        <f>IF(W59&lt;0.5,NA(),VLOOKUP((W59+1/8),成長曲線_データ!$V$4:$AA$73,2,TRUE))</f>
        <v>#N/A</v>
      </c>
      <c r="AD59" s="82" t="e">
        <f>IF(W59&lt;1,NA(),VLOOKUP(W59,成長曲線_データ!$V$4:$AA$73,3,TRUE))</f>
        <v>#N/A</v>
      </c>
      <c r="AE59" s="82" t="e">
        <f>IF(W59&lt;=6.5,VLOOKUP(W59,頭囲データ!$C$10:$E$85,2,TRUE),NA())</f>
        <v>#N/A</v>
      </c>
      <c r="AF59" s="82" t="e">
        <f>IF(W59&lt;=6.5,VLOOKUP(W59,頭囲データ!$C$10:$E$85,3,TRUE),NA())</f>
        <v>#N/A</v>
      </c>
      <c r="AG59" s="89" t="str">
        <f>入力!F59&amp;"y"&amp;入力!G59&amp;"m"</f>
        <v>ym</v>
      </c>
      <c r="AH59" s="89" t="e">
        <f>IF(AND(入力!W59&gt;=1,入力!W59&lt;6,入力!B59&gt;=70,入力!B59&lt;=120),入力!B59,NA())</f>
        <v>#N/A</v>
      </c>
      <c r="AI59" s="89" t="e">
        <f>IF(AND(入力!W59&gt;=1,入力!W59&lt;6,入力!B59&gt;=70,入力!B59&lt;=120),入力!X59,NA())</f>
        <v>#N/A</v>
      </c>
      <c r="AJ59" s="89" t="e">
        <f>IF(AND(入力!W59&gt;=6,入力!B59&gt;=100,入力!B59&lt;=184),入力!B59,NA())</f>
        <v>#N/A</v>
      </c>
      <c r="AK59" s="89" t="e">
        <f>IF(AND(入力!W59&gt;=6,入力!B59&gt;=100,入力!B59&lt;=184),入力!X59,NA())</f>
        <v>#N/A</v>
      </c>
      <c r="AL59" s="82" t="e">
        <f t="shared" si="45"/>
        <v>#N/A</v>
      </c>
      <c r="AM59" s="82"/>
      <c r="AN59" s="80" t="e">
        <f t="shared" si="46"/>
        <v>#N/A</v>
      </c>
      <c r="AO59" s="80" t="e">
        <f t="shared" si="47"/>
        <v>#N/A</v>
      </c>
      <c r="AP59" s="81" t="e">
        <f t="shared" si="48"/>
        <v>#N/A</v>
      </c>
      <c r="AQ59" s="81" t="e">
        <f t="shared" si="49"/>
        <v>#VALUE!</v>
      </c>
      <c r="AR59" s="81" t="e">
        <f t="shared" si="50"/>
        <v>#N/A</v>
      </c>
      <c r="AS59" s="81" t="e">
        <f t="shared" si="51"/>
        <v>#N/A</v>
      </c>
      <c r="AT59" s="81" t="e">
        <f t="shared" si="52"/>
        <v>#N/A</v>
      </c>
      <c r="AU59" s="81" t="e">
        <f t="shared" si="53"/>
        <v>#N/A</v>
      </c>
      <c r="AV59" s="81" t="e">
        <f t="shared" si="54"/>
        <v>#N/A</v>
      </c>
      <c r="AW59" s="81" t="e">
        <f t="shared" si="55"/>
        <v>#N/A</v>
      </c>
      <c r="AX59" s="81" t="e">
        <f t="shared" si="56"/>
        <v>#N/A</v>
      </c>
      <c r="AY59" s="81" t="e">
        <f>VLOOKUP($W59,頭囲データ!$R$10:$W$11,3,TRUE)*$W59^3+VLOOKUP($W59,頭囲データ!$R$10:$W$11,4,TRUE)*$W59^2+VLOOKUP($W59,頭囲データ!$R$10:$W$11,5,TRUE)*$W59+VLOOKUP($W59,頭囲データ!$R$10:$W$11,6,TRUE)</f>
        <v>#N/A</v>
      </c>
      <c r="AZ59" s="81" t="e">
        <f>VLOOKUP($W59,頭囲データ!$R$12:$W$16,3,TRUE)*$W59^3+VLOOKUP($W59,頭囲データ!$R$12:$W$16,4,TRUE)*$W59^2+VLOOKUP($W59,頭囲データ!$R$12:$W$16,5,TRUE)*$W59+VLOOKUP($W59,頭囲データ!$R$12:$W$16,6,TRUE)</f>
        <v>#N/A</v>
      </c>
      <c r="BA59" s="81" t="e">
        <f>VLOOKUP($W59,頭囲データ!$R$17:$W$18,3,TRUE)*$W59^3+VLOOKUP($W59,頭囲データ!$R$17:$W$18,4,TRUE)*$W59^2+VLOOKUP($W59,頭囲データ!$R$17:$W$18,5,TRUE)*$W59+VLOOKUP($W59,頭囲データ!$R$17:$W$18,6,TRUE)</f>
        <v>#N/A</v>
      </c>
      <c r="BB59" s="81" t="e">
        <f t="shared" si="57"/>
        <v>#N/A</v>
      </c>
      <c r="BC59" s="81" t="e">
        <f>VLOOKUP($W59,胸囲データ!$R$10:$W$11,3,TRUE)*$W59^3+VLOOKUP($W59,胸囲データ!$R$10:$W$11,4,TRUE)*$W59^2+VLOOKUP($W59,胸囲データ!$R$10:$W$11,5,TRUE)*$W59+VLOOKUP($W59,胸囲データ!$R$10:$W$11,6,TRUE)</f>
        <v>#N/A</v>
      </c>
      <c r="BD59" s="81" t="e">
        <f>VLOOKUP($W59,胸囲データ!$R$12:$W$16,3,TRUE)*$W59^3+VLOOKUP($W59,胸囲データ!$R$12:$W$16,4,TRUE)*$W59^2+VLOOKUP($W59,胸囲データ!$R$12:$W$16,5,TRUE)*$W59+VLOOKUP($W59,胸囲データ!$R$12:$W$16,6,TRUE)</f>
        <v>#N/A</v>
      </c>
      <c r="BE59" s="81" t="e">
        <f>VLOOKUP($W59,胸囲データ!$R$17:$W$18,3,TRUE)*$W59^3+VLOOKUP($W59,胸囲データ!$R$17:$W$18,4,TRUE)*$W59^2+VLOOKUP($W59,胸囲データ!$R$17:$W$18,5,TRUE)*$W59+VLOOKUP($W59,胸囲データ!$R$17:$W$18,6,TRUE)</f>
        <v>#N/A</v>
      </c>
    </row>
    <row r="60" spans="1:57" x14ac:dyDescent="0.15">
      <c r="A60" s="35"/>
      <c r="B60" s="36"/>
      <c r="C60" s="36"/>
      <c r="D60" s="49"/>
      <c r="E60" s="76"/>
      <c r="F60" s="51" t="str">
        <f t="shared" si="29"/>
        <v/>
      </c>
      <c r="G60" s="37" t="str">
        <f t="shared" si="33"/>
        <v/>
      </c>
      <c r="H60" s="38" t="str">
        <f>IF(ISERROR(W60),"",VLOOKUP(W60,成長曲線_データ!$D$4:$AC$214,3,TRUE))</f>
        <v/>
      </c>
      <c r="I60" s="39" t="str">
        <f t="shared" si="34"/>
        <v/>
      </c>
      <c r="J60" s="39" t="str">
        <f t="shared" si="35"/>
        <v/>
      </c>
      <c r="K60" s="39" t="str">
        <f t="shared" si="36"/>
        <v/>
      </c>
      <c r="L60" s="39" t="str">
        <f t="shared" si="32"/>
        <v/>
      </c>
      <c r="M60" s="39" t="str">
        <f t="shared" si="27"/>
        <v/>
      </c>
      <c r="N60" s="39" t="str">
        <f t="shared" si="37"/>
        <v/>
      </c>
      <c r="O60" s="40" t="str">
        <f t="shared" si="38"/>
        <v/>
      </c>
      <c r="P60" s="40" t="str">
        <f t="shared" si="39"/>
        <v/>
      </c>
      <c r="Q60" s="39" t="str">
        <f t="shared" si="8"/>
        <v/>
      </c>
      <c r="R60" s="39" t="str">
        <f t="shared" si="40"/>
        <v/>
      </c>
      <c r="S60" s="39" t="str">
        <f t="shared" si="10"/>
        <v/>
      </c>
      <c r="T60" s="41" t="str">
        <f t="shared" si="41"/>
        <v/>
      </c>
      <c r="V60" s="90"/>
      <c r="W60" s="79" t="e">
        <f t="shared" si="42"/>
        <v>#N/A</v>
      </c>
      <c r="X60" s="79" t="e">
        <f t="shared" si="43"/>
        <v>#N/A</v>
      </c>
      <c r="Y60" s="80" t="e">
        <f>IF(W60="","",VLOOKUP(W60,成長曲線_データ!$D$4:$AC$214,4,TRUE))</f>
        <v>#N/A</v>
      </c>
      <c r="Z60" s="80" t="e">
        <f>IF(W60="","",VLOOKUP(W60,成長曲線_データ!$D$4:$AC$214,12,TRUE))</f>
        <v>#N/A</v>
      </c>
      <c r="AA60" s="81" t="e">
        <f>IF(W60="","",VLOOKUP(W60,成長曲線_データ!$D$4:$AC$214,13,TRUE))</f>
        <v>#N/A</v>
      </c>
      <c r="AB60" s="94" t="e">
        <f t="shared" si="44"/>
        <v>#N/A</v>
      </c>
      <c r="AC60" s="82" t="e">
        <f>IF(W60&lt;0.5,NA(),VLOOKUP((W60+1/8),成長曲線_データ!$V$4:$AA$73,2,TRUE))</f>
        <v>#N/A</v>
      </c>
      <c r="AD60" s="82" t="e">
        <f>IF(W60&lt;1,NA(),VLOOKUP(W60,成長曲線_データ!$V$4:$AA$73,3,TRUE))</f>
        <v>#N/A</v>
      </c>
      <c r="AE60" s="82" t="e">
        <f>IF(W60&lt;=6.5,VLOOKUP(W60,頭囲データ!$C$10:$E$85,2,TRUE),NA())</f>
        <v>#N/A</v>
      </c>
      <c r="AF60" s="82" t="e">
        <f>IF(W60&lt;=6.5,VLOOKUP(W60,頭囲データ!$C$10:$E$85,3,TRUE),NA())</f>
        <v>#N/A</v>
      </c>
      <c r="AG60" s="89" t="str">
        <f>入力!F60&amp;"y"&amp;入力!G60&amp;"m"</f>
        <v>ym</v>
      </c>
      <c r="AH60" s="89" t="e">
        <f>IF(AND(入力!W60&gt;=1,入力!W60&lt;6,入力!B60&gt;=70,入力!B60&lt;=120),入力!B60,NA())</f>
        <v>#N/A</v>
      </c>
      <c r="AI60" s="89" t="e">
        <f>IF(AND(入力!W60&gt;=1,入力!W60&lt;6,入力!B60&gt;=70,入力!B60&lt;=120),入力!X60,NA())</f>
        <v>#N/A</v>
      </c>
      <c r="AJ60" s="89" t="e">
        <f>IF(AND(入力!W60&gt;=6,入力!B60&gt;=100,入力!B60&lt;=184),入力!B60,NA())</f>
        <v>#N/A</v>
      </c>
      <c r="AK60" s="89" t="e">
        <f>IF(AND(入力!W60&gt;=6,入力!B60&gt;=100,入力!B60&lt;=184),入力!X60,NA())</f>
        <v>#N/A</v>
      </c>
      <c r="AL60" s="82" t="e">
        <f t="shared" si="45"/>
        <v>#N/A</v>
      </c>
      <c r="AM60" s="82"/>
      <c r="AN60" s="80" t="e">
        <f t="shared" si="46"/>
        <v>#N/A</v>
      </c>
      <c r="AO60" s="80" t="e">
        <f t="shared" si="47"/>
        <v>#N/A</v>
      </c>
      <c r="AP60" s="81" t="e">
        <f t="shared" si="48"/>
        <v>#N/A</v>
      </c>
      <c r="AQ60" s="81" t="e">
        <f t="shared" si="49"/>
        <v>#VALUE!</v>
      </c>
      <c r="AR60" s="81" t="e">
        <f t="shared" si="50"/>
        <v>#N/A</v>
      </c>
      <c r="AS60" s="81" t="e">
        <f t="shared" si="51"/>
        <v>#N/A</v>
      </c>
      <c r="AT60" s="81" t="e">
        <f t="shared" si="52"/>
        <v>#N/A</v>
      </c>
      <c r="AU60" s="81" t="e">
        <f t="shared" si="53"/>
        <v>#N/A</v>
      </c>
      <c r="AV60" s="81" t="e">
        <f t="shared" si="54"/>
        <v>#N/A</v>
      </c>
      <c r="AW60" s="81" t="e">
        <f t="shared" si="55"/>
        <v>#N/A</v>
      </c>
      <c r="AX60" s="81" t="e">
        <f t="shared" si="56"/>
        <v>#N/A</v>
      </c>
      <c r="AY60" s="81" t="e">
        <f>VLOOKUP($W60,頭囲データ!$R$10:$W$11,3,TRUE)*$W60^3+VLOOKUP($W60,頭囲データ!$R$10:$W$11,4,TRUE)*$W60^2+VLOOKUP($W60,頭囲データ!$R$10:$W$11,5,TRUE)*$W60+VLOOKUP($W60,頭囲データ!$R$10:$W$11,6,TRUE)</f>
        <v>#N/A</v>
      </c>
      <c r="AZ60" s="81" t="e">
        <f>VLOOKUP($W60,頭囲データ!$R$12:$W$16,3,TRUE)*$W60^3+VLOOKUP($W60,頭囲データ!$R$12:$W$16,4,TRUE)*$W60^2+VLOOKUP($W60,頭囲データ!$R$12:$W$16,5,TRUE)*$W60+VLOOKUP($W60,頭囲データ!$R$12:$W$16,6,TRUE)</f>
        <v>#N/A</v>
      </c>
      <c r="BA60" s="81" t="e">
        <f>VLOOKUP($W60,頭囲データ!$R$17:$W$18,3,TRUE)*$W60^3+VLOOKUP($W60,頭囲データ!$R$17:$W$18,4,TRUE)*$W60^2+VLOOKUP($W60,頭囲データ!$R$17:$W$18,5,TRUE)*$W60+VLOOKUP($W60,頭囲データ!$R$17:$W$18,6,TRUE)</f>
        <v>#N/A</v>
      </c>
      <c r="BB60" s="81" t="e">
        <f t="shared" si="57"/>
        <v>#N/A</v>
      </c>
      <c r="BC60" s="81" t="e">
        <f>VLOOKUP($W60,胸囲データ!$R$10:$W$11,3,TRUE)*$W60^3+VLOOKUP($W60,胸囲データ!$R$10:$W$11,4,TRUE)*$W60^2+VLOOKUP($W60,胸囲データ!$R$10:$W$11,5,TRUE)*$W60+VLOOKUP($W60,胸囲データ!$R$10:$W$11,6,TRUE)</f>
        <v>#N/A</v>
      </c>
      <c r="BD60" s="81" t="e">
        <f>VLOOKUP($W60,胸囲データ!$R$12:$W$16,3,TRUE)*$W60^3+VLOOKUP($W60,胸囲データ!$R$12:$W$16,4,TRUE)*$W60^2+VLOOKUP($W60,胸囲データ!$R$12:$W$16,5,TRUE)*$W60+VLOOKUP($W60,胸囲データ!$R$12:$W$16,6,TRUE)</f>
        <v>#N/A</v>
      </c>
      <c r="BE60" s="81" t="e">
        <f>VLOOKUP($W60,胸囲データ!$R$17:$W$18,3,TRUE)*$W60^3+VLOOKUP($W60,胸囲データ!$R$17:$W$18,4,TRUE)*$W60^2+VLOOKUP($W60,胸囲データ!$R$17:$W$18,5,TRUE)*$W60+VLOOKUP($W60,胸囲データ!$R$17:$W$18,6,TRUE)</f>
        <v>#N/A</v>
      </c>
    </row>
    <row r="61" spans="1:57" x14ac:dyDescent="0.15">
      <c r="A61" s="35"/>
      <c r="B61" s="36"/>
      <c r="C61" s="36"/>
      <c r="D61" s="49"/>
      <c r="E61" s="76"/>
      <c r="F61" s="51" t="str">
        <f t="shared" si="29"/>
        <v/>
      </c>
      <c r="G61" s="37" t="str">
        <f t="shared" si="33"/>
        <v/>
      </c>
      <c r="H61" s="38" t="str">
        <f>IF(ISERROR(W61),"",VLOOKUP(W61,成長曲線_データ!$D$4:$AC$214,3,TRUE))</f>
        <v/>
      </c>
      <c r="I61" s="39" t="str">
        <f t="shared" si="34"/>
        <v/>
      </c>
      <c r="J61" s="39" t="str">
        <f t="shared" si="35"/>
        <v/>
      </c>
      <c r="K61" s="39" t="str">
        <f t="shared" si="36"/>
        <v/>
      </c>
      <c r="L61" s="39" t="str">
        <f t="shared" si="32"/>
        <v/>
      </c>
      <c r="M61" s="39" t="str">
        <f t="shared" si="27"/>
        <v/>
      </c>
      <c r="N61" s="39" t="str">
        <f t="shared" si="37"/>
        <v/>
      </c>
      <c r="O61" s="40" t="str">
        <f t="shared" si="38"/>
        <v/>
      </c>
      <c r="P61" s="40" t="str">
        <f t="shared" si="39"/>
        <v/>
      </c>
      <c r="Q61" s="39" t="str">
        <f t="shared" si="8"/>
        <v/>
      </c>
      <c r="R61" s="39" t="str">
        <f t="shared" si="40"/>
        <v/>
      </c>
      <c r="S61" s="39" t="str">
        <f t="shared" si="10"/>
        <v/>
      </c>
      <c r="T61" s="41" t="str">
        <f t="shared" si="41"/>
        <v/>
      </c>
      <c r="V61" s="90"/>
      <c r="W61" s="79" t="e">
        <f t="shared" si="42"/>
        <v>#N/A</v>
      </c>
      <c r="X61" s="79" t="e">
        <f t="shared" si="43"/>
        <v>#N/A</v>
      </c>
      <c r="Y61" s="80" t="e">
        <f>IF(W61="","",VLOOKUP(W61,成長曲線_データ!$D$4:$AC$214,4,TRUE))</f>
        <v>#N/A</v>
      </c>
      <c r="Z61" s="80" t="e">
        <f>IF(W61="","",VLOOKUP(W61,成長曲線_データ!$D$4:$AC$214,12,TRUE))</f>
        <v>#N/A</v>
      </c>
      <c r="AA61" s="81" t="e">
        <f>IF(W61="","",VLOOKUP(W61,成長曲線_データ!$D$4:$AC$214,13,TRUE))</f>
        <v>#N/A</v>
      </c>
      <c r="AB61" s="94" t="e">
        <f t="shared" si="44"/>
        <v>#N/A</v>
      </c>
      <c r="AC61" s="82" t="e">
        <f>IF(W61&lt;0.5,NA(),VLOOKUP((W61+1/8),成長曲線_データ!$V$4:$AA$73,2,TRUE))</f>
        <v>#N/A</v>
      </c>
      <c r="AD61" s="82" t="e">
        <f>IF(W61&lt;1,NA(),VLOOKUP(W61,成長曲線_データ!$V$4:$AA$73,3,TRUE))</f>
        <v>#N/A</v>
      </c>
      <c r="AE61" s="82" t="e">
        <f>IF(W61&lt;=6.5,VLOOKUP(W61,頭囲データ!$C$10:$E$85,2,TRUE),NA())</f>
        <v>#N/A</v>
      </c>
      <c r="AF61" s="82" t="e">
        <f>IF(W61&lt;=6.5,VLOOKUP(W61,頭囲データ!$C$10:$E$85,3,TRUE),NA())</f>
        <v>#N/A</v>
      </c>
      <c r="AG61" s="89" t="str">
        <f>入力!F61&amp;"y"&amp;入力!G61&amp;"m"</f>
        <v>ym</v>
      </c>
      <c r="AH61" s="89" t="e">
        <f>IF(AND(入力!W61&gt;=1,入力!W61&lt;6,入力!B61&gt;=70,入力!B61&lt;=120),入力!B61,NA())</f>
        <v>#N/A</v>
      </c>
      <c r="AI61" s="89" t="e">
        <f>IF(AND(入力!W61&gt;=1,入力!W61&lt;6,入力!B61&gt;=70,入力!B61&lt;=120),入力!X61,NA())</f>
        <v>#N/A</v>
      </c>
      <c r="AJ61" s="89" t="e">
        <f>IF(AND(入力!W61&gt;=6,入力!B61&gt;=100,入力!B61&lt;=184),入力!B61,NA())</f>
        <v>#N/A</v>
      </c>
      <c r="AK61" s="89" t="e">
        <f>IF(AND(入力!W61&gt;=6,入力!B61&gt;=100,入力!B61&lt;=184),入力!X61,NA())</f>
        <v>#N/A</v>
      </c>
      <c r="AL61" s="82" t="e">
        <f t="shared" si="45"/>
        <v>#N/A</v>
      </c>
      <c r="AM61" s="82"/>
      <c r="AN61" s="80" t="e">
        <f t="shared" si="46"/>
        <v>#N/A</v>
      </c>
      <c r="AO61" s="80" t="e">
        <f t="shared" si="47"/>
        <v>#N/A</v>
      </c>
      <c r="AP61" s="81" t="e">
        <f t="shared" si="48"/>
        <v>#N/A</v>
      </c>
      <c r="AQ61" s="81" t="e">
        <f t="shared" si="49"/>
        <v>#VALUE!</v>
      </c>
      <c r="AR61" s="81" t="e">
        <f t="shared" si="50"/>
        <v>#N/A</v>
      </c>
      <c r="AS61" s="81" t="e">
        <f t="shared" si="51"/>
        <v>#N/A</v>
      </c>
      <c r="AT61" s="81" t="e">
        <f t="shared" si="52"/>
        <v>#N/A</v>
      </c>
      <c r="AU61" s="81" t="e">
        <f t="shared" si="53"/>
        <v>#N/A</v>
      </c>
      <c r="AV61" s="81" t="e">
        <f t="shared" si="54"/>
        <v>#N/A</v>
      </c>
      <c r="AW61" s="81" t="e">
        <f t="shared" si="55"/>
        <v>#N/A</v>
      </c>
      <c r="AX61" s="81" t="e">
        <f t="shared" si="56"/>
        <v>#N/A</v>
      </c>
      <c r="AY61" s="81" t="e">
        <f>VLOOKUP($W61,頭囲データ!$R$10:$W$11,3,TRUE)*$W61^3+VLOOKUP($W61,頭囲データ!$R$10:$W$11,4,TRUE)*$W61^2+VLOOKUP($W61,頭囲データ!$R$10:$W$11,5,TRUE)*$W61+VLOOKUP($W61,頭囲データ!$R$10:$W$11,6,TRUE)</f>
        <v>#N/A</v>
      </c>
      <c r="AZ61" s="81" t="e">
        <f>VLOOKUP($W61,頭囲データ!$R$12:$W$16,3,TRUE)*$W61^3+VLOOKUP($W61,頭囲データ!$R$12:$W$16,4,TRUE)*$W61^2+VLOOKUP($W61,頭囲データ!$R$12:$W$16,5,TRUE)*$W61+VLOOKUP($W61,頭囲データ!$R$12:$W$16,6,TRUE)</f>
        <v>#N/A</v>
      </c>
      <c r="BA61" s="81" t="e">
        <f>VLOOKUP($W61,頭囲データ!$R$17:$W$18,3,TRUE)*$W61^3+VLOOKUP($W61,頭囲データ!$R$17:$W$18,4,TRUE)*$W61^2+VLOOKUP($W61,頭囲データ!$R$17:$W$18,5,TRUE)*$W61+VLOOKUP($W61,頭囲データ!$R$17:$W$18,6,TRUE)</f>
        <v>#N/A</v>
      </c>
      <c r="BB61" s="81" t="e">
        <f t="shared" si="57"/>
        <v>#N/A</v>
      </c>
      <c r="BC61" s="81" t="e">
        <f>VLOOKUP($W61,胸囲データ!$R$10:$W$11,3,TRUE)*$W61^3+VLOOKUP($W61,胸囲データ!$R$10:$W$11,4,TRUE)*$W61^2+VLOOKUP($W61,胸囲データ!$R$10:$W$11,5,TRUE)*$W61+VLOOKUP($W61,胸囲データ!$R$10:$W$11,6,TRUE)</f>
        <v>#N/A</v>
      </c>
      <c r="BD61" s="81" t="e">
        <f>VLOOKUP($W61,胸囲データ!$R$12:$W$16,3,TRUE)*$W61^3+VLOOKUP($W61,胸囲データ!$R$12:$W$16,4,TRUE)*$W61^2+VLOOKUP($W61,胸囲データ!$R$12:$W$16,5,TRUE)*$W61+VLOOKUP($W61,胸囲データ!$R$12:$W$16,6,TRUE)</f>
        <v>#N/A</v>
      </c>
      <c r="BE61" s="81" t="e">
        <f>VLOOKUP($W61,胸囲データ!$R$17:$W$18,3,TRUE)*$W61^3+VLOOKUP($W61,胸囲データ!$R$17:$W$18,4,TRUE)*$W61^2+VLOOKUP($W61,胸囲データ!$R$17:$W$18,5,TRUE)*$W61+VLOOKUP($W61,胸囲データ!$R$17:$W$18,6,TRUE)</f>
        <v>#N/A</v>
      </c>
    </row>
    <row r="62" spans="1:57" x14ac:dyDescent="0.15">
      <c r="A62" s="35"/>
      <c r="B62" s="36"/>
      <c r="C62" s="36"/>
      <c r="D62" s="49"/>
      <c r="E62" s="76"/>
      <c r="F62" s="51" t="str">
        <f t="shared" si="29"/>
        <v/>
      </c>
      <c r="G62" s="37" t="str">
        <f t="shared" si="33"/>
        <v/>
      </c>
      <c r="H62" s="38" t="str">
        <f>IF(ISERROR(W62),"",VLOOKUP(W62,成長曲線_データ!$D$4:$AC$214,3,TRUE))</f>
        <v/>
      </c>
      <c r="I62" s="39" t="str">
        <f t="shared" si="34"/>
        <v/>
      </c>
      <c r="J62" s="39" t="str">
        <f t="shared" si="35"/>
        <v/>
      </c>
      <c r="K62" s="39" t="str">
        <f t="shared" si="36"/>
        <v/>
      </c>
      <c r="L62" s="39" t="str">
        <f t="shared" si="32"/>
        <v/>
      </c>
      <c r="M62" s="39" t="str">
        <f t="shared" si="27"/>
        <v/>
      </c>
      <c r="N62" s="39" t="str">
        <f t="shared" si="37"/>
        <v/>
      </c>
      <c r="O62" s="40" t="str">
        <f t="shared" si="38"/>
        <v/>
      </c>
      <c r="P62" s="40" t="str">
        <f t="shared" si="39"/>
        <v/>
      </c>
      <c r="Q62" s="39" t="str">
        <f t="shared" si="8"/>
        <v/>
      </c>
      <c r="R62" s="39" t="str">
        <f t="shared" si="40"/>
        <v/>
      </c>
      <c r="S62" s="39" t="str">
        <f t="shared" si="10"/>
        <v/>
      </c>
      <c r="T62" s="41" t="str">
        <f t="shared" si="41"/>
        <v/>
      </c>
      <c r="V62" s="90"/>
      <c r="W62" s="79" t="e">
        <f t="shared" si="42"/>
        <v>#N/A</v>
      </c>
      <c r="X62" s="79" t="e">
        <f t="shared" si="43"/>
        <v>#N/A</v>
      </c>
      <c r="Y62" s="80" t="e">
        <f>IF(W62="","",VLOOKUP(W62,成長曲線_データ!$D$4:$AC$214,4,TRUE))</f>
        <v>#N/A</v>
      </c>
      <c r="Z62" s="80" t="e">
        <f>IF(W62="","",VLOOKUP(W62,成長曲線_データ!$D$4:$AC$214,12,TRUE))</f>
        <v>#N/A</v>
      </c>
      <c r="AA62" s="81" t="e">
        <f>IF(W62="","",VLOOKUP(W62,成長曲線_データ!$D$4:$AC$214,13,TRUE))</f>
        <v>#N/A</v>
      </c>
      <c r="AB62" s="94" t="e">
        <f t="shared" si="44"/>
        <v>#N/A</v>
      </c>
      <c r="AC62" s="82" t="e">
        <f>IF(W62&lt;0.5,NA(),VLOOKUP((W62+1/8),成長曲線_データ!$V$4:$AA$73,2,TRUE))</f>
        <v>#N/A</v>
      </c>
      <c r="AD62" s="82" t="e">
        <f>IF(W62&lt;1,NA(),VLOOKUP(W62,成長曲線_データ!$V$4:$AA$73,3,TRUE))</f>
        <v>#N/A</v>
      </c>
      <c r="AE62" s="82" t="e">
        <f>IF(W62&lt;=6.5,VLOOKUP(W62,頭囲データ!$C$10:$E$85,2,TRUE),NA())</f>
        <v>#N/A</v>
      </c>
      <c r="AF62" s="82" t="e">
        <f>IF(W62&lt;=6.5,VLOOKUP(W62,頭囲データ!$C$10:$E$85,3,TRUE),NA())</f>
        <v>#N/A</v>
      </c>
      <c r="AG62" s="89" t="str">
        <f>入力!F62&amp;"y"&amp;入力!G62&amp;"m"</f>
        <v>ym</v>
      </c>
      <c r="AH62" s="89" t="e">
        <f>IF(AND(入力!W62&gt;=1,入力!W62&lt;6,入力!B62&gt;=70,入力!B62&lt;=120),入力!B62,NA())</f>
        <v>#N/A</v>
      </c>
      <c r="AI62" s="89" t="e">
        <f>IF(AND(入力!W62&gt;=1,入力!W62&lt;6,入力!B62&gt;=70,入力!B62&lt;=120),入力!X62,NA())</f>
        <v>#N/A</v>
      </c>
      <c r="AJ62" s="89" t="e">
        <f>IF(AND(入力!W62&gt;=6,入力!B62&gt;=100,入力!B62&lt;=184),入力!B62,NA())</f>
        <v>#N/A</v>
      </c>
      <c r="AK62" s="89" t="e">
        <f>IF(AND(入力!W62&gt;=6,入力!B62&gt;=100,入力!B62&lt;=184),入力!X62,NA())</f>
        <v>#N/A</v>
      </c>
      <c r="AL62" s="82" t="e">
        <f t="shared" si="45"/>
        <v>#N/A</v>
      </c>
      <c r="AM62" s="82"/>
      <c r="AN62" s="80" t="e">
        <f t="shared" si="46"/>
        <v>#N/A</v>
      </c>
      <c r="AO62" s="80" t="e">
        <f t="shared" si="47"/>
        <v>#N/A</v>
      </c>
      <c r="AP62" s="81" t="e">
        <f t="shared" si="48"/>
        <v>#N/A</v>
      </c>
      <c r="AQ62" s="81" t="e">
        <f t="shared" si="49"/>
        <v>#VALUE!</v>
      </c>
      <c r="AR62" s="81" t="e">
        <f t="shared" si="50"/>
        <v>#N/A</v>
      </c>
      <c r="AS62" s="81" t="e">
        <f t="shared" si="51"/>
        <v>#N/A</v>
      </c>
      <c r="AT62" s="81" t="e">
        <f t="shared" si="52"/>
        <v>#N/A</v>
      </c>
      <c r="AU62" s="81" t="e">
        <f t="shared" si="53"/>
        <v>#N/A</v>
      </c>
      <c r="AV62" s="81" t="e">
        <f t="shared" si="54"/>
        <v>#N/A</v>
      </c>
      <c r="AW62" s="81" t="e">
        <f t="shared" si="55"/>
        <v>#N/A</v>
      </c>
      <c r="AX62" s="81" t="e">
        <f t="shared" si="56"/>
        <v>#N/A</v>
      </c>
      <c r="AY62" s="81" t="e">
        <f>VLOOKUP($W62,頭囲データ!$R$10:$W$11,3,TRUE)*$W62^3+VLOOKUP($W62,頭囲データ!$R$10:$W$11,4,TRUE)*$W62^2+VLOOKUP($W62,頭囲データ!$R$10:$W$11,5,TRUE)*$W62+VLOOKUP($W62,頭囲データ!$R$10:$W$11,6,TRUE)</f>
        <v>#N/A</v>
      </c>
      <c r="AZ62" s="81" t="e">
        <f>VLOOKUP($W62,頭囲データ!$R$12:$W$16,3,TRUE)*$W62^3+VLOOKUP($W62,頭囲データ!$R$12:$W$16,4,TRUE)*$W62^2+VLOOKUP($W62,頭囲データ!$R$12:$W$16,5,TRUE)*$W62+VLOOKUP($W62,頭囲データ!$R$12:$W$16,6,TRUE)</f>
        <v>#N/A</v>
      </c>
      <c r="BA62" s="81" t="e">
        <f>VLOOKUP($W62,頭囲データ!$R$17:$W$18,3,TRUE)*$W62^3+VLOOKUP($W62,頭囲データ!$R$17:$W$18,4,TRUE)*$W62^2+VLOOKUP($W62,頭囲データ!$R$17:$W$18,5,TRUE)*$W62+VLOOKUP($W62,頭囲データ!$R$17:$W$18,6,TRUE)</f>
        <v>#N/A</v>
      </c>
      <c r="BB62" s="81" t="e">
        <f t="shared" si="57"/>
        <v>#N/A</v>
      </c>
      <c r="BC62" s="81" t="e">
        <f>VLOOKUP($W62,胸囲データ!$R$10:$W$11,3,TRUE)*$W62^3+VLOOKUP($W62,胸囲データ!$R$10:$W$11,4,TRUE)*$W62^2+VLOOKUP($W62,胸囲データ!$R$10:$W$11,5,TRUE)*$W62+VLOOKUP($W62,胸囲データ!$R$10:$W$11,6,TRUE)</f>
        <v>#N/A</v>
      </c>
      <c r="BD62" s="81" t="e">
        <f>VLOOKUP($W62,胸囲データ!$R$12:$W$16,3,TRUE)*$W62^3+VLOOKUP($W62,胸囲データ!$R$12:$W$16,4,TRUE)*$W62^2+VLOOKUP($W62,胸囲データ!$R$12:$W$16,5,TRUE)*$W62+VLOOKUP($W62,胸囲データ!$R$12:$W$16,6,TRUE)</f>
        <v>#N/A</v>
      </c>
      <c r="BE62" s="81" t="e">
        <f>VLOOKUP($W62,胸囲データ!$R$17:$W$18,3,TRUE)*$W62^3+VLOOKUP($W62,胸囲データ!$R$17:$W$18,4,TRUE)*$W62^2+VLOOKUP($W62,胸囲データ!$R$17:$W$18,5,TRUE)*$W62+VLOOKUP($W62,胸囲データ!$R$17:$W$18,6,TRUE)</f>
        <v>#N/A</v>
      </c>
    </row>
    <row r="63" spans="1:57" x14ac:dyDescent="0.15">
      <c r="A63" s="35"/>
      <c r="B63" s="36"/>
      <c r="C63" s="36"/>
      <c r="D63" s="49"/>
      <c r="E63" s="76"/>
      <c r="F63" s="51" t="str">
        <f t="shared" si="29"/>
        <v/>
      </c>
      <c r="G63" s="37" t="str">
        <f t="shared" si="33"/>
        <v/>
      </c>
      <c r="H63" s="38" t="str">
        <f>IF(ISERROR(W63),"",VLOOKUP(W63,成長曲線_データ!$D$4:$AC$214,3,TRUE))</f>
        <v/>
      </c>
      <c r="I63" s="39" t="str">
        <f t="shared" si="34"/>
        <v/>
      </c>
      <c r="J63" s="39" t="str">
        <f t="shared" si="35"/>
        <v/>
      </c>
      <c r="K63" s="39" t="str">
        <f t="shared" si="36"/>
        <v/>
      </c>
      <c r="L63" s="39" t="str">
        <f t="shared" si="32"/>
        <v/>
      </c>
      <c r="M63" s="39" t="str">
        <f t="shared" si="27"/>
        <v/>
      </c>
      <c r="N63" s="39" t="str">
        <f t="shared" si="37"/>
        <v/>
      </c>
      <c r="O63" s="40" t="str">
        <f t="shared" si="38"/>
        <v/>
      </c>
      <c r="P63" s="40" t="str">
        <f t="shared" si="39"/>
        <v/>
      </c>
      <c r="Q63" s="39" t="str">
        <f t="shared" si="8"/>
        <v/>
      </c>
      <c r="R63" s="39" t="str">
        <f t="shared" si="40"/>
        <v/>
      </c>
      <c r="S63" s="39" t="str">
        <f t="shared" si="10"/>
        <v/>
      </c>
      <c r="T63" s="41" t="str">
        <f t="shared" si="41"/>
        <v/>
      </c>
      <c r="V63" s="90"/>
      <c r="W63" s="79" t="e">
        <f t="shared" si="42"/>
        <v>#N/A</v>
      </c>
      <c r="X63" s="79" t="e">
        <f t="shared" si="43"/>
        <v>#N/A</v>
      </c>
      <c r="Y63" s="80" t="e">
        <f>IF(W63="","",VLOOKUP(W63,成長曲線_データ!$D$4:$AC$214,4,TRUE))</f>
        <v>#N/A</v>
      </c>
      <c r="Z63" s="80" t="e">
        <f>IF(W63="","",VLOOKUP(W63,成長曲線_データ!$D$4:$AC$214,12,TRUE))</f>
        <v>#N/A</v>
      </c>
      <c r="AA63" s="81" t="e">
        <f>IF(W63="","",VLOOKUP(W63,成長曲線_データ!$D$4:$AC$214,13,TRUE))</f>
        <v>#N/A</v>
      </c>
      <c r="AB63" s="94" t="e">
        <f t="shared" si="44"/>
        <v>#N/A</v>
      </c>
      <c r="AC63" s="82" t="e">
        <f>IF(W63&lt;0.5,NA(),VLOOKUP((W63+1/8),成長曲線_データ!$V$4:$AA$73,2,TRUE))</f>
        <v>#N/A</v>
      </c>
      <c r="AD63" s="82" t="e">
        <f>IF(W63&lt;1,NA(),VLOOKUP(W63,成長曲線_データ!$V$4:$AA$73,3,TRUE))</f>
        <v>#N/A</v>
      </c>
      <c r="AE63" s="82" t="e">
        <f>IF(W63&lt;=6.5,VLOOKUP(W63,頭囲データ!$C$10:$E$85,2,TRUE),NA())</f>
        <v>#N/A</v>
      </c>
      <c r="AF63" s="82" t="e">
        <f>IF(W63&lt;=6.5,VLOOKUP(W63,頭囲データ!$C$10:$E$85,3,TRUE),NA())</f>
        <v>#N/A</v>
      </c>
      <c r="AG63" s="89" t="str">
        <f>入力!F63&amp;"y"&amp;入力!G63&amp;"m"</f>
        <v>ym</v>
      </c>
      <c r="AH63" s="89" t="e">
        <f>IF(AND(入力!W63&gt;=1,入力!W63&lt;6,入力!B63&gt;=70,入力!B63&lt;=120),入力!B63,NA())</f>
        <v>#N/A</v>
      </c>
      <c r="AI63" s="89" t="e">
        <f>IF(AND(入力!W63&gt;=1,入力!W63&lt;6,入力!B63&gt;=70,入力!B63&lt;=120),入力!X63,NA())</f>
        <v>#N/A</v>
      </c>
      <c r="AJ63" s="89" t="e">
        <f>IF(AND(入力!W63&gt;=6,入力!B63&gt;=100,入力!B63&lt;=184),入力!B63,NA())</f>
        <v>#N/A</v>
      </c>
      <c r="AK63" s="89" t="e">
        <f>IF(AND(入力!W63&gt;=6,入力!B63&gt;=100,入力!B63&lt;=184),入力!X63,NA())</f>
        <v>#N/A</v>
      </c>
      <c r="AL63" s="82" t="e">
        <f t="shared" si="45"/>
        <v>#N/A</v>
      </c>
      <c r="AM63" s="82"/>
      <c r="AN63" s="80" t="e">
        <f t="shared" si="46"/>
        <v>#N/A</v>
      </c>
      <c r="AO63" s="80" t="e">
        <f t="shared" si="47"/>
        <v>#N/A</v>
      </c>
      <c r="AP63" s="81" t="e">
        <f t="shared" si="48"/>
        <v>#N/A</v>
      </c>
      <c r="AQ63" s="81" t="e">
        <f t="shared" si="49"/>
        <v>#VALUE!</v>
      </c>
      <c r="AR63" s="81" t="e">
        <f t="shared" si="50"/>
        <v>#N/A</v>
      </c>
      <c r="AS63" s="81" t="e">
        <f t="shared" si="51"/>
        <v>#N/A</v>
      </c>
      <c r="AT63" s="81" t="e">
        <f t="shared" si="52"/>
        <v>#N/A</v>
      </c>
      <c r="AU63" s="81" t="e">
        <f t="shared" si="53"/>
        <v>#N/A</v>
      </c>
      <c r="AV63" s="81" t="e">
        <f t="shared" si="54"/>
        <v>#N/A</v>
      </c>
      <c r="AW63" s="81" t="e">
        <f t="shared" si="55"/>
        <v>#N/A</v>
      </c>
      <c r="AX63" s="81" t="e">
        <f t="shared" si="56"/>
        <v>#N/A</v>
      </c>
      <c r="AY63" s="81" t="e">
        <f>VLOOKUP($W63,頭囲データ!$R$10:$W$11,3,TRUE)*$W63^3+VLOOKUP($W63,頭囲データ!$R$10:$W$11,4,TRUE)*$W63^2+VLOOKUP($W63,頭囲データ!$R$10:$W$11,5,TRUE)*$W63+VLOOKUP($W63,頭囲データ!$R$10:$W$11,6,TRUE)</f>
        <v>#N/A</v>
      </c>
      <c r="AZ63" s="81" t="e">
        <f>VLOOKUP($W63,頭囲データ!$R$12:$W$16,3,TRUE)*$W63^3+VLOOKUP($W63,頭囲データ!$R$12:$W$16,4,TRUE)*$W63^2+VLOOKUP($W63,頭囲データ!$R$12:$W$16,5,TRUE)*$W63+VLOOKUP($W63,頭囲データ!$R$12:$W$16,6,TRUE)</f>
        <v>#N/A</v>
      </c>
      <c r="BA63" s="81" t="e">
        <f>VLOOKUP($W63,頭囲データ!$R$17:$W$18,3,TRUE)*$W63^3+VLOOKUP($W63,頭囲データ!$R$17:$W$18,4,TRUE)*$W63^2+VLOOKUP($W63,頭囲データ!$R$17:$W$18,5,TRUE)*$W63+VLOOKUP($W63,頭囲データ!$R$17:$W$18,6,TRUE)</f>
        <v>#N/A</v>
      </c>
      <c r="BB63" s="81" t="e">
        <f t="shared" si="57"/>
        <v>#N/A</v>
      </c>
      <c r="BC63" s="81" t="e">
        <f>VLOOKUP($W63,胸囲データ!$R$10:$W$11,3,TRUE)*$W63^3+VLOOKUP($W63,胸囲データ!$R$10:$W$11,4,TRUE)*$W63^2+VLOOKUP($W63,胸囲データ!$R$10:$W$11,5,TRUE)*$W63+VLOOKUP($W63,胸囲データ!$R$10:$W$11,6,TRUE)</f>
        <v>#N/A</v>
      </c>
      <c r="BD63" s="81" t="e">
        <f>VLOOKUP($W63,胸囲データ!$R$12:$W$16,3,TRUE)*$W63^3+VLOOKUP($W63,胸囲データ!$R$12:$W$16,4,TRUE)*$W63^2+VLOOKUP($W63,胸囲データ!$R$12:$W$16,5,TRUE)*$W63+VLOOKUP($W63,胸囲データ!$R$12:$W$16,6,TRUE)</f>
        <v>#N/A</v>
      </c>
      <c r="BE63" s="81" t="e">
        <f>VLOOKUP($W63,胸囲データ!$R$17:$W$18,3,TRUE)*$W63^3+VLOOKUP($W63,胸囲データ!$R$17:$W$18,4,TRUE)*$W63^2+VLOOKUP($W63,胸囲データ!$R$17:$W$18,5,TRUE)*$W63+VLOOKUP($W63,胸囲データ!$R$17:$W$18,6,TRUE)</f>
        <v>#N/A</v>
      </c>
    </row>
    <row r="64" spans="1:57" x14ac:dyDescent="0.15">
      <c r="A64" s="35"/>
      <c r="B64" s="36"/>
      <c r="C64" s="36"/>
      <c r="D64" s="49"/>
      <c r="E64" s="76"/>
      <c r="F64" s="51" t="str">
        <f t="shared" si="29"/>
        <v/>
      </c>
      <c r="G64" s="37" t="str">
        <f t="shared" si="33"/>
        <v/>
      </c>
      <c r="H64" s="38" t="str">
        <f>IF(ISERROR(W64),"",VLOOKUP(W64,成長曲線_データ!$D$4:$AC$214,3,TRUE))</f>
        <v/>
      </c>
      <c r="I64" s="39" t="str">
        <f t="shared" si="34"/>
        <v/>
      </c>
      <c r="J64" s="39" t="str">
        <f t="shared" si="35"/>
        <v/>
      </c>
      <c r="K64" s="39" t="str">
        <f t="shared" si="36"/>
        <v/>
      </c>
      <c r="L64" s="39" t="str">
        <f t="shared" si="32"/>
        <v/>
      </c>
      <c r="M64" s="39" t="str">
        <f t="shared" si="27"/>
        <v/>
      </c>
      <c r="N64" s="39" t="str">
        <f t="shared" si="37"/>
        <v/>
      </c>
      <c r="O64" s="40" t="str">
        <f t="shared" si="38"/>
        <v/>
      </c>
      <c r="P64" s="40" t="str">
        <f t="shared" si="39"/>
        <v/>
      </c>
      <c r="Q64" s="39" t="str">
        <f t="shared" si="8"/>
        <v/>
      </c>
      <c r="R64" s="39" t="str">
        <f t="shared" si="40"/>
        <v/>
      </c>
      <c r="S64" s="39" t="str">
        <f t="shared" si="10"/>
        <v/>
      </c>
      <c r="T64" s="41" t="str">
        <f t="shared" si="41"/>
        <v/>
      </c>
      <c r="V64" s="90"/>
      <c r="W64" s="79" t="e">
        <f t="shared" si="42"/>
        <v>#N/A</v>
      </c>
      <c r="X64" s="79" t="e">
        <f t="shared" si="43"/>
        <v>#N/A</v>
      </c>
      <c r="Y64" s="80" t="e">
        <f>IF(W64="","",VLOOKUP(W64,成長曲線_データ!$D$4:$AC$214,4,TRUE))</f>
        <v>#N/A</v>
      </c>
      <c r="Z64" s="80" t="e">
        <f>IF(W64="","",VLOOKUP(W64,成長曲線_データ!$D$4:$AC$214,12,TRUE))</f>
        <v>#N/A</v>
      </c>
      <c r="AA64" s="81" t="e">
        <f>IF(W64="","",VLOOKUP(W64,成長曲線_データ!$D$4:$AC$214,13,TRUE))</f>
        <v>#N/A</v>
      </c>
      <c r="AB64" s="94" t="e">
        <f t="shared" si="44"/>
        <v>#N/A</v>
      </c>
      <c r="AC64" s="82" t="e">
        <f>IF(W64&lt;0.5,NA(),VLOOKUP((W64+1/8),成長曲線_データ!$V$4:$AA$73,2,TRUE))</f>
        <v>#N/A</v>
      </c>
      <c r="AD64" s="82" t="e">
        <f>IF(W64&lt;1,NA(),VLOOKUP(W64,成長曲線_データ!$V$4:$AA$73,3,TRUE))</f>
        <v>#N/A</v>
      </c>
      <c r="AE64" s="82" t="e">
        <f>IF(W64&lt;=6.5,VLOOKUP(W64,頭囲データ!$C$10:$E$85,2,TRUE),NA())</f>
        <v>#N/A</v>
      </c>
      <c r="AF64" s="82" t="e">
        <f>IF(W64&lt;=6.5,VLOOKUP(W64,頭囲データ!$C$10:$E$85,3,TRUE),NA())</f>
        <v>#N/A</v>
      </c>
      <c r="AG64" s="89" t="str">
        <f>入力!F64&amp;"y"&amp;入力!G64&amp;"m"</f>
        <v>ym</v>
      </c>
      <c r="AH64" s="89" t="e">
        <f>IF(AND(入力!W64&gt;=1,入力!W64&lt;6,入力!B64&gt;=70,入力!B64&lt;=120),入力!B64,NA())</f>
        <v>#N/A</v>
      </c>
      <c r="AI64" s="89" t="e">
        <f>IF(AND(入力!W64&gt;=1,入力!W64&lt;6,入力!B64&gt;=70,入力!B64&lt;=120),入力!X64,NA())</f>
        <v>#N/A</v>
      </c>
      <c r="AJ64" s="89" t="e">
        <f>IF(AND(入力!W64&gt;=6,入力!B64&gt;=100,入力!B64&lt;=184),入力!B64,NA())</f>
        <v>#N/A</v>
      </c>
      <c r="AK64" s="89" t="e">
        <f>IF(AND(入力!W64&gt;=6,入力!B64&gt;=100,入力!B64&lt;=184),入力!X64,NA())</f>
        <v>#N/A</v>
      </c>
      <c r="AL64" s="82" t="e">
        <f t="shared" si="45"/>
        <v>#N/A</v>
      </c>
      <c r="AM64" s="82"/>
      <c r="AN64" s="80" t="e">
        <f t="shared" si="46"/>
        <v>#N/A</v>
      </c>
      <c r="AO64" s="80" t="e">
        <f t="shared" si="47"/>
        <v>#N/A</v>
      </c>
      <c r="AP64" s="81" t="e">
        <f t="shared" si="48"/>
        <v>#N/A</v>
      </c>
      <c r="AQ64" s="81" t="e">
        <f t="shared" si="49"/>
        <v>#VALUE!</v>
      </c>
      <c r="AR64" s="81" t="e">
        <f t="shared" si="50"/>
        <v>#N/A</v>
      </c>
      <c r="AS64" s="81" t="e">
        <f t="shared" si="51"/>
        <v>#N/A</v>
      </c>
      <c r="AT64" s="81" t="e">
        <f t="shared" si="52"/>
        <v>#N/A</v>
      </c>
      <c r="AU64" s="81" t="e">
        <f t="shared" si="53"/>
        <v>#N/A</v>
      </c>
      <c r="AV64" s="81" t="e">
        <f t="shared" si="54"/>
        <v>#N/A</v>
      </c>
      <c r="AW64" s="81" t="e">
        <f t="shared" si="55"/>
        <v>#N/A</v>
      </c>
      <c r="AX64" s="81" t="e">
        <f t="shared" si="56"/>
        <v>#N/A</v>
      </c>
      <c r="AY64" s="81" t="e">
        <f>VLOOKUP($W64,頭囲データ!$R$10:$W$11,3,TRUE)*$W64^3+VLOOKUP($W64,頭囲データ!$R$10:$W$11,4,TRUE)*$W64^2+VLOOKUP($W64,頭囲データ!$R$10:$W$11,5,TRUE)*$W64+VLOOKUP($W64,頭囲データ!$R$10:$W$11,6,TRUE)</f>
        <v>#N/A</v>
      </c>
      <c r="AZ64" s="81" t="e">
        <f>VLOOKUP($W64,頭囲データ!$R$12:$W$16,3,TRUE)*$W64^3+VLOOKUP($W64,頭囲データ!$R$12:$W$16,4,TRUE)*$W64^2+VLOOKUP($W64,頭囲データ!$R$12:$W$16,5,TRUE)*$W64+VLOOKUP($W64,頭囲データ!$R$12:$W$16,6,TRUE)</f>
        <v>#N/A</v>
      </c>
      <c r="BA64" s="81" t="e">
        <f>VLOOKUP($W64,頭囲データ!$R$17:$W$18,3,TRUE)*$W64^3+VLOOKUP($W64,頭囲データ!$R$17:$W$18,4,TRUE)*$W64^2+VLOOKUP($W64,頭囲データ!$R$17:$W$18,5,TRUE)*$W64+VLOOKUP($W64,頭囲データ!$R$17:$W$18,6,TRUE)</f>
        <v>#N/A</v>
      </c>
      <c r="BB64" s="81" t="e">
        <f t="shared" si="57"/>
        <v>#N/A</v>
      </c>
      <c r="BC64" s="81" t="e">
        <f>VLOOKUP($W64,胸囲データ!$R$10:$W$11,3,TRUE)*$W64^3+VLOOKUP($W64,胸囲データ!$R$10:$W$11,4,TRUE)*$W64^2+VLOOKUP($W64,胸囲データ!$R$10:$W$11,5,TRUE)*$W64+VLOOKUP($W64,胸囲データ!$R$10:$W$11,6,TRUE)</f>
        <v>#N/A</v>
      </c>
      <c r="BD64" s="81" t="e">
        <f>VLOOKUP($W64,胸囲データ!$R$12:$W$16,3,TRUE)*$W64^3+VLOOKUP($W64,胸囲データ!$R$12:$W$16,4,TRUE)*$W64^2+VLOOKUP($W64,胸囲データ!$R$12:$W$16,5,TRUE)*$W64+VLOOKUP($W64,胸囲データ!$R$12:$W$16,6,TRUE)</f>
        <v>#N/A</v>
      </c>
      <c r="BE64" s="81" t="e">
        <f>VLOOKUP($W64,胸囲データ!$R$17:$W$18,3,TRUE)*$W64^3+VLOOKUP($W64,胸囲データ!$R$17:$W$18,4,TRUE)*$W64^2+VLOOKUP($W64,胸囲データ!$R$17:$W$18,5,TRUE)*$W64+VLOOKUP($W64,胸囲データ!$R$17:$W$18,6,TRUE)</f>
        <v>#N/A</v>
      </c>
    </row>
    <row r="65" spans="1:57" x14ac:dyDescent="0.15">
      <c r="A65" s="35"/>
      <c r="B65" s="36"/>
      <c r="C65" s="36"/>
      <c r="D65" s="49"/>
      <c r="E65" s="76"/>
      <c r="F65" s="51" t="str">
        <f t="shared" si="29"/>
        <v/>
      </c>
      <c r="G65" s="37" t="str">
        <f t="shared" si="33"/>
        <v/>
      </c>
      <c r="H65" s="38" t="str">
        <f>IF(ISERROR(W65),"",VLOOKUP(W65,成長曲線_データ!$D$4:$AC$214,3,TRUE))</f>
        <v/>
      </c>
      <c r="I65" s="39" t="str">
        <f t="shared" si="34"/>
        <v/>
      </c>
      <c r="J65" s="39" t="str">
        <f t="shared" si="35"/>
        <v/>
      </c>
      <c r="K65" s="39" t="str">
        <f t="shared" si="36"/>
        <v/>
      </c>
      <c r="L65" s="39" t="str">
        <f t="shared" si="32"/>
        <v/>
      </c>
      <c r="M65" s="39" t="str">
        <f t="shared" si="27"/>
        <v/>
      </c>
      <c r="N65" s="39" t="str">
        <f t="shared" si="37"/>
        <v/>
      </c>
      <c r="O65" s="40" t="str">
        <f t="shared" si="38"/>
        <v/>
      </c>
      <c r="P65" s="40" t="str">
        <f t="shared" si="39"/>
        <v/>
      </c>
      <c r="Q65" s="39" t="str">
        <f t="shared" si="8"/>
        <v/>
      </c>
      <c r="R65" s="39" t="str">
        <f t="shared" si="40"/>
        <v/>
      </c>
      <c r="S65" s="39" t="str">
        <f t="shared" si="10"/>
        <v/>
      </c>
      <c r="T65" s="41" t="str">
        <f t="shared" si="41"/>
        <v/>
      </c>
      <c r="V65" s="90"/>
      <c r="W65" s="79" t="e">
        <f t="shared" si="42"/>
        <v>#N/A</v>
      </c>
      <c r="X65" s="79" t="e">
        <f t="shared" si="43"/>
        <v>#N/A</v>
      </c>
      <c r="Y65" s="80" t="e">
        <f>IF(W65="","",VLOOKUP(W65,成長曲線_データ!$D$4:$AC$214,4,TRUE))</f>
        <v>#N/A</v>
      </c>
      <c r="Z65" s="80" t="e">
        <f>IF(W65="","",VLOOKUP(W65,成長曲線_データ!$D$4:$AC$214,12,TRUE))</f>
        <v>#N/A</v>
      </c>
      <c r="AA65" s="81" t="e">
        <f>IF(W65="","",VLOOKUP(W65,成長曲線_データ!$D$4:$AC$214,13,TRUE))</f>
        <v>#N/A</v>
      </c>
      <c r="AB65" s="94" t="e">
        <f t="shared" si="44"/>
        <v>#N/A</v>
      </c>
      <c r="AC65" s="82" t="e">
        <f>IF(W65&lt;0.5,NA(),VLOOKUP((W65+1/8),成長曲線_データ!$V$4:$AA$73,2,TRUE))</f>
        <v>#N/A</v>
      </c>
      <c r="AD65" s="82" t="e">
        <f>IF(W65&lt;1,NA(),VLOOKUP(W65,成長曲線_データ!$V$4:$AA$73,3,TRUE))</f>
        <v>#N/A</v>
      </c>
      <c r="AE65" s="82" t="e">
        <f>IF(W65&lt;=6.5,VLOOKUP(W65,頭囲データ!$C$10:$E$85,2,TRUE),NA())</f>
        <v>#N/A</v>
      </c>
      <c r="AF65" s="82" t="e">
        <f>IF(W65&lt;=6.5,VLOOKUP(W65,頭囲データ!$C$10:$E$85,3,TRUE),NA())</f>
        <v>#N/A</v>
      </c>
      <c r="AG65" s="89" t="str">
        <f>入力!F65&amp;"y"&amp;入力!G65&amp;"m"</f>
        <v>ym</v>
      </c>
      <c r="AH65" s="89" t="e">
        <f>IF(AND(入力!W65&gt;=1,入力!W65&lt;6,入力!B65&gt;=70,入力!B65&lt;=120),入力!B65,NA())</f>
        <v>#N/A</v>
      </c>
      <c r="AI65" s="89" t="e">
        <f>IF(AND(入力!W65&gt;=1,入力!W65&lt;6,入力!B65&gt;=70,入力!B65&lt;=120),入力!X65,NA())</f>
        <v>#N/A</v>
      </c>
      <c r="AJ65" s="89" t="e">
        <f>IF(AND(入力!W65&gt;=6,入力!B65&gt;=100,入力!B65&lt;=184),入力!B65,NA())</f>
        <v>#N/A</v>
      </c>
      <c r="AK65" s="89" t="e">
        <f>IF(AND(入力!W65&gt;=6,入力!B65&gt;=100,入力!B65&lt;=184),入力!X65,NA())</f>
        <v>#N/A</v>
      </c>
      <c r="AL65" s="82" t="e">
        <f t="shared" si="45"/>
        <v>#N/A</v>
      </c>
      <c r="AM65" s="82"/>
      <c r="AN65" s="80" t="e">
        <f t="shared" si="46"/>
        <v>#N/A</v>
      </c>
      <c r="AO65" s="80" t="e">
        <f t="shared" si="47"/>
        <v>#N/A</v>
      </c>
      <c r="AP65" s="81" t="e">
        <f t="shared" si="48"/>
        <v>#N/A</v>
      </c>
      <c r="AQ65" s="81" t="e">
        <f t="shared" si="49"/>
        <v>#VALUE!</v>
      </c>
      <c r="AR65" s="81" t="e">
        <f t="shared" si="50"/>
        <v>#N/A</v>
      </c>
      <c r="AS65" s="81" t="e">
        <f t="shared" si="51"/>
        <v>#N/A</v>
      </c>
      <c r="AT65" s="81" t="e">
        <f t="shared" si="52"/>
        <v>#N/A</v>
      </c>
      <c r="AU65" s="81" t="e">
        <f t="shared" si="53"/>
        <v>#N/A</v>
      </c>
      <c r="AV65" s="81" t="e">
        <f t="shared" si="54"/>
        <v>#N/A</v>
      </c>
      <c r="AW65" s="81" t="e">
        <f t="shared" si="55"/>
        <v>#N/A</v>
      </c>
      <c r="AX65" s="81" t="e">
        <f t="shared" si="56"/>
        <v>#N/A</v>
      </c>
      <c r="AY65" s="81" t="e">
        <f>VLOOKUP($W65,頭囲データ!$R$10:$W$11,3,TRUE)*$W65^3+VLOOKUP($W65,頭囲データ!$R$10:$W$11,4,TRUE)*$W65^2+VLOOKUP($W65,頭囲データ!$R$10:$W$11,5,TRUE)*$W65+VLOOKUP($W65,頭囲データ!$R$10:$W$11,6,TRUE)</f>
        <v>#N/A</v>
      </c>
      <c r="AZ65" s="81" t="e">
        <f>VLOOKUP($W65,頭囲データ!$R$12:$W$16,3,TRUE)*$W65^3+VLOOKUP($W65,頭囲データ!$R$12:$W$16,4,TRUE)*$W65^2+VLOOKUP($W65,頭囲データ!$R$12:$W$16,5,TRUE)*$W65+VLOOKUP($W65,頭囲データ!$R$12:$W$16,6,TRUE)</f>
        <v>#N/A</v>
      </c>
      <c r="BA65" s="81" t="e">
        <f>VLOOKUP($W65,頭囲データ!$R$17:$W$18,3,TRUE)*$W65^3+VLOOKUP($W65,頭囲データ!$R$17:$W$18,4,TRUE)*$W65^2+VLOOKUP($W65,頭囲データ!$R$17:$W$18,5,TRUE)*$W65+VLOOKUP($W65,頭囲データ!$R$17:$W$18,6,TRUE)</f>
        <v>#N/A</v>
      </c>
      <c r="BB65" s="81" t="e">
        <f t="shared" si="57"/>
        <v>#N/A</v>
      </c>
      <c r="BC65" s="81" t="e">
        <f>VLOOKUP($W65,胸囲データ!$R$10:$W$11,3,TRUE)*$W65^3+VLOOKUP($W65,胸囲データ!$R$10:$W$11,4,TRUE)*$W65^2+VLOOKUP($W65,胸囲データ!$R$10:$W$11,5,TRUE)*$W65+VLOOKUP($W65,胸囲データ!$R$10:$W$11,6,TRUE)</f>
        <v>#N/A</v>
      </c>
      <c r="BD65" s="81" t="e">
        <f>VLOOKUP($W65,胸囲データ!$R$12:$W$16,3,TRUE)*$W65^3+VLOOKUP($W65,胸囲データ!$R$12:$W$16,4,TRUE)*$W65^2+VLOOKUP($W65,胸囲データ!$R$12:$W$16,5,TRUE)*$W65+VLOOKUP($W65,胸囲データ!$R$12:$W$16,6,TRUE)</f>
        <v>#N/A</v>
      </c>
      <c r="BE65" s="81" t="e">
        <f>VLOOKUP($W65,胸囲データ!$R$17:$W$18,3,TRUE)*$W65^3+VLOOKUP($W65,胸囲データ!$R$17:$W$18,4,TRUE)*$W65^2+VLOOKUP($W65,胸囲データ!$R$17:$W$18,5,TRUE)*$W65+VLOOKUP($W65,胸囲データ!$R$17:$W$18,6,TRUE)</f>
        <v>#N/A</v>
      </c>
    </row>
    <row r="66" spans="1:57" x14ac:dyDescent="0.15">
      <c r="A66" s="35"/>
      <c r="B66" s="36"/>
      <c r="C66" s="36"/>
      <c r="D66" s="49"/>
      <c r="E66" s="76"/>
      <c r="F66" s="51" t="str">
        <f t="shared" si="29"/>
        <v/>
      </c>
      <c r="G66" s="37" t="str">
        <f t="shared" si="33"/>
        <v/>
      </c>
      <c r="H66" s="38" t="str">
        <f>IF(ISERROR(W66),"",VLOOKUP(W66,成長曲線_データ!$D$4:$AC$214,3,TRUE))</f>
        <v/>
      </c>
      <c r="I66" s="39" t="str">
        <f t="shared" si="34"/>
        <v/>
      </c>
      <c r="J66" s="39" t="str">
        <f t="shared" si="35"/>
        <v/>
      </c>
      <c r="K66" s="39" t="str">
        <f t="shared" si="36"/>
        <v/>
      </c>
      <c r="L66" s="39" t="str">
        <f t="shared" si="32"/>
        <v/>
      </c>
      <c r="M66" s="39" t="str">
        <f t="shared" si="27"/>
        <v/>
      </c>
      <c r="N66" s="39" t="str">
        <f t="shared" si="37"/>
        <v/>
      </c>
      <c r="O66" s="40" t="str">
        <f t="shared" si="38"/>
        <v/>
      </c>
      <c r="P66" s="40" t="str">
        <f t="shared" si="39"/>
        <v/>
      </c>
      <c r="Q66" s="39" t="str">
        <f t="shared" si="8"/>
        <v/>
      </c>
      <c r="R66" s="39" t="str">
        <f t="shared" si="40"/>
        <v/>
      </c>
      <c r="S66" s="39" t="str">
        <f t="shared" si="10"/>
        <v/>
      </c>
      <c r="T66" s="41" t="str">
        <f t="shared" si="41"/>
        <v/>
      </c>
      <c r="V66" s="90"/>
      <c r="W66" s="79" t="e">
        <f t="shared" si="42"/>
        <v>#N/A</v>
      </c>
      <c r="X66" s="79" t="e">
        <f t="shared" si="43"/>
        <v>#N/A</v>
      </c>
      <c r="Y66" s="80" t="e">
        <f>IF(W66="","",VLOOKUP(W66,成長曲線_データ!$D$4:$AC$214,4,TRUE))</f>
        <v>#N/A</v>
      </c>
      <c r="Z66" s="80" t="e">
        <f>IF(W66="","",VLOOKUP(W66,成長曲線_データ!$D$4:$AC$214,12,TRUE))</f>
        <v>#N/A</v>
      </c>
      <c r="AA66" s="81" t="e">
        <f>IF(W66="","",VLOOKUP(W66,成長曲線_データ!$D$4:$AC$214,13,TRUE))</f>
        <v>#N/A</v>
      </c>
      <c r="AB66" s="94" t="e">
        <f t="shared" si="44"/>
        <v>#N/A</v>
      </c>
      <c r="AC66" s="82" t="e">
        <f>IF(W66&lt;0.5,NA(),VLOOKUP((W66+1/8),成長曲線_データ!$V$4:$AA$73,2,TRUE))</f>
        <v>#N/A</v>
      </c>
      <c r="AD66" s="82" t="e">
        <f>IF(W66&lt;1,NA(),VLOOKUP(W66,成長曲線_データ!$V$4:$AA$73,3,TRUE))</f>
        <v>#N/A</v>
      </c>
      <c r="AE66" s="82" t="e">
        <f>IF(W66&lt;=6.5,VLOOKUP(W66,頭囲データ!$C$10:$E$85,2,TRUE),NA())</f>
        <v>#N/A</v>
      </c>
      <c r="AF66" s="82" t="e">
        <f>IF(W66&lt;=6.5,VLOOKUP(W66,頭囲データ!$C$10:$E$85,3,TRUE),NA())</f>
        <v>#N/A</v>
      </c>
      <c r="AG66" s="89" t="str">
        <f>入力!F66&amp;"y"&amp;入力!G66&amp;"m"</f>
        <v>ym</v>
      </c>
      <c r="AH66" s="89" t="e">
        <f>IF(AND(入力!W66&gt;=1,入力!W66&lt;6,入力!B66&gt;=70,入力!B66&lt;=120),入力!B66,NA())</f>
        <v>#N/A</v>
      </c>
      <c r="AI66" s="89" t="e">
        <f>IF(AND(入力!W66&gt;=1,入力!W66&lt;6,入力!B66&gt;=70,入力!B66&lt;=120),入力!X66,NA())</f>
        <v>#N/A</v>
      </c>
      <c r="AJ66" s="89" t="e">
        <f>IF(AND(入力!W66&gt;=6,入力!B66&gt;=100,入力!B66&lt;=184),入力!B66,NA())</f>
        <v>#N/A</v>
      </c>
      <c r="AK66" s="89" t="e">
        <f>IF(AND(入力!W66&gt;=6,入力!B66&gt;=100,入力!B66&lt;=184),入力!X66,NA())</f>
        <v>#N/A</v>
      </c>
      <c r="AL66" s="82" t="e">
        <f t="shared" si="45"/>
        <v>#N/A</v>
      </c>
      <c r="AM66" s="82"/>
      <c r="AN66" s="80" t="e">
        <f t="shared" si="46"/>
        <v>#N/A</v>
      </c>
      <c r="AO66" s="80" t="e">
        <f t="shared" si="47"/>
        <v>#N/A</v>
      </c>
      <c r="AP66" s="81" t="e">
        <f t="shared" si="48"/>
        <v>#N/A</v>
      </c>
      <c r="AQ66" s="81" t="e">
        <f t="shared" si="49"/>
        <v>#VALUE!</v>
      </c>
      <c r="AR66" s="81" t="e">
        <f t="shared" si="50"/>
        <v>#N/A</v>
      </c>
      <c r="AS66" s="81" t="e">
        <f t="shared" si="51"/>
        <v>#N/A</v>
      </c>
      <c r="AT66" s="81" t="e">
        <f t="shared" si="52"/>
        <v>#N/A</v>
      </c>
      <c r="AU66" s="81" t="e">
        <f t="shared" si="53"/>
        <v>#N/A</v>
      </c>
      <c r="AV66" s="81" t="e">
        <f t="shared" si="54"/>
        <v>#N/A</v>
      </c>
      <c r="AW66" s="81" t="e">
        <f t="shared" si="55"/>
        <v>#N/A</v>
      </c>
      <c r="AX66" s="81" t="e">
        <f t="shared" si="56"/>
        <v>#N/A</v>
      </c>
      <c r="AY66" s="81" t="e">
        <f>VLOOKUP($W66,頭囲データ!$R$10:$W$11,3,TRUE)*$W66^3+VLOOKUP($W66,頭囲データ!$R$10:$W$11,4,TRUE)*$W66^2+VLOOKUP($W66,頭囲データ!$R$10:$W$11,5,TRUE)*$W66+VLOOKUP($W66,頭囲データ!$R$10:$W$11,6,TRUE)</f>
        <v>#N/A</v>
      </c>
      <c r="AZ66" s="81" t="e">
        <f>VLOOKUP($W66,頭囲データ!$R$12:$W$16,3,TRUE)*$W66^3+VLOOKUP($W66,頭囲データ!$R$12:$W$16,4,TRUE)*$W66^2+VLOOKUP($W66,頭囲データ!$R$12:$W$16,5,TRUE)*$W66+VLOOKUP($W66,頭囲データ!$R$12:$W$16,6,TRUE)</f>
        <v>#N/A</v>
      </c>
      <c r="BA66" s="81" t="e">
        <f>VLOOKUP($W66,頭囲データ!$R$17:$W$18,3,TRUE)*$W66^3+VLOOKUP($W66,頭囲データ!$R$17:$W$18,4,TRUE)*$W66^2+VLOOKUP($W66,頭囲データ!$R$17:$W$18,5,TRUE)*$W66+VLOOKUP($W66,頭囲データ!$R$17:$W$18,6,TRUE)</f>
        <v>#N/A</v>
      </c>
      <c r="BB66" s="81" t="e">
        <f t="shared" si="57"/>
        <v>#N/A</v>
      </c>
      <c r="BC66" s="81" t="e">
        <f>VLOOKUP($W66,胸囲データ!$R$10:$W$11,3,TRUE)*$W66^3+VLOOKUP($W66,胸囲データ!$R$10:$W$11,4,TRUE)*$W66^2+VLOOKUP($W66,胸囲データ!$R$10:$W$11,5,TRUE)*$W66+VLOOKUP($W66,胸囲データ!$R$10:$W$11,6,TRUE)</f>
        <v>#N/A</v>
      </c>
      <c r="BD66" s="81" t="e">
        <f>VLOOKUP($W66,胸囲データ!$R$12:$W$16,3,TRUE)*$W66^3+VLOOKUP($W66,胸囲データ!$R$12:$W$16,4,TRUE)*$W66^2+VLOOKUP($W66,胸囲データ!$R$12:$W$16,5,TRUE)*$W66+VLOOKUP($W66,胸囲データ!$R$12:$W$16,6,TRUE)</f>
        <v>#N/A</v>
      </c>
      <c r="BE66" s="81" t="e">
        <f>VLOOKUP($W66,胸囲データ!$R$17:$W$18,3,TRUE)*$W66^3+VLOOKUP($W66,胸囲データ!$R$17:$W$18,4,TRUE)*$W66^2+VLOOKUP($W66,胸囲データ!$R$17:$W$18,5,TRUE)*$W66+VLOOKUP($W66,胸囲データ!$R$17:$W$18,6,TRUE)</f>
        <v>#N/A</v>
      </c>
    </row>
    <row r="67" spans="1:57" x14ac:dyDescent="0.15">
      <c r="A67" s="35"/>
      <c r="B67" s="36"/>
      <c r="C67" s="36"/>
      <c r="D67" s="49"/>
      <c r="E67" s="76"/>
      <c r="F67" s="51" t="str">
        <f t="shared" si="29"/>
        <v/>
      </c>
      <c r="G67" s="37" t="str">
        <f t="shared" si="33"/>
        <v/>
      </c>
      <c r="H67" s="38" t="str">
        <f>IF(ISERROR(W67),"",VLOOKUP(W67,成長曲線_データ!$D$4:$AC$214,3,TRUE))</f>
        <v/>
      </c>
      <c r="I67" s="39" t="str">
        <f t="shared" si="34"/>
        <v/>
      </c>
      <c r="J67" s="39" t="str">
        <f t="shared" si="35"/>
        <v/>
      </c>
      <c r="K67" s="39" t="str">
        <f t="shared" si="36"/>
        <v/>
      </c>
      <c r="L67" s="39" t="str">
        <f t="shared" si="32"/>
        <v/>
      </c>
      <c r="M67" s="39" t="str">
        <f t="shared" si="27"/>
        <v/>
      </c>
      <c r="N67" s="39" t="str">
        <f t="shared" si="37"/>
        <v/>
      </c>
      <c r="O67" s="40" t="str">
        <f t="shared" si="38"/>
        <v/>
      </c>
      <c r="P67" s="40" t="str">
        <f t="shared" si="39"/>
        <v/>
      </c>
      <c r="Q67" s="39" t="str">
        <f t="shared" si="8"/>
        <v/>
      </c>
      <c r="R67" s="39" t="str">
        <f t="shared" si="40"/>
        <v/>
      </c>
      <c r="S67" s="39" t="str">
        <f t="shared" si="10"/>
        <v/>
      </c>
      <c r="T67" s="41" t="str">
        <f t="shared" si="41"/>
        <v/>
      </c>
      <c r="V67" s="90"/>
      <c r="W67" s="79" t="e">
        <f t="shared" si="42"/>
        <v>#N/A</v>
      </c>
      <c r="X67" s="79" t="e">
        <f t="shared" si="43"/>
        <v>#N/A</v>
      </c>
      <c r="Y67" s="80" t="e">
        <f>IF(W67="","",VLOOKUP(W67,成長曲線_データ!$D$4:$AC$214,4,TRUE))</f>
        <v>#N/A</v>
      </c>
      <c r="Z67" s="80" t="e">
        <f>IF(W67="","",VLOOKUP(W67,成長曲線_データ!$D$4:$AC$214,12,TRUE))</f>
        <v>#N/A</v>
      </c>
      <c r="AA67" s="81" t="e">
        <f>IF(W67="","",VLOOKUP(W67,成長曲線_データ!$D$4:$AC$214,13,TRUE))</f>
        <v>#N/A</v>
      </c>
      <c r="AB67" s="94" t="e">
        <f t="shared" si="44"/>
        <v>#N/A</v>
      </c>
      <c r="AC67" s="82" t="e">
        <f>IF(W67&lt;0.5,NA(),VLOOKUP((W67+1/8),成長曲線_データ!$V$4:$AA$73,2,TRUE))</f>
        <v>#N/A</v>
      </c>
      <c r="AD67" s="82" t="e">
        <f>IF(W67&lt;1,NA(),VLOOKUP(W67,成長曲線_データ!$V$4:$AA$73,3,TRUE))</f>
        <v>#N/A</v>
      </c>
      <c r="AE67" s="82" t="e">
        <f>IF(W67&lt;=6.5,VLOOKUP(W67,頭囲データ!$C$10:$E$85,2,TRUE),NA())</f>
        <v>#N/A</v>
      </c>
      <c r="AF67" s="82" t="e">
        <f>IF(W67&lt;=6.5,VLOOKUP(W67,頭囲データ!$C$10:$E$85,3,TRUE),NA())</f>
        <v>#N/A</v>
      </c>
      <c r="AG67" s="89" t="str">
        <f>入力!F67&amp;"y"&amp;入力!G67&amp;"m"</f>
        <v>ym</v>
      </c>
      <c r="AH67" s="89" t="e">
        <f>IF(AND(入力!W67&gt;=1,入力!W67&lt;6,入力!B67&gt;=70,入力!B67&lt;=120),入力!B67,NA())</f>
        <v>#N/A</v>
      </c>
      <c r="AI67" s="89" t="e">
        <f>IF(AND(入力!W67&gt;=1,入力!W67&lt;6,入力!B67&gt;=70,入力!B67&lt;=120),入力!X67,NA())</f>
        <v>#N/A</v>
      </c>
      <c r="AJ67" s="89" t="e">
        <f>IF(AND(入力!W67&gt;=6,入力!B67&gt;=100,入力!B67&lt;=184),入力!B67,NA())</f>
        <v>#N/A</v>
      </c>
      <c r="AK67" s="89" t="e">
        <f>IF(AND(入力!W67&gt;=6,入力!B67&gt;=100,入力!B67&lt;=184),入力!X67,NA())</f>
        <v>#N/A</v>
      </c>
      <c r="AL67" s="82" t="e">
        <f t="shared" si="45"/>
        <v>#N/A</v>
      </c>
      <c r="AM67" s="82"/>
      <c r="AN67" s="80" t="e">
        <f t="shared" si="46"/>
        <v>#N/A</v>
      </c>
      <c r="AO67" s="80" t="e">
        <f t="shared" si="47"/>
        <v>#N/A</v>
      </c>
      <c r="AP67" s="81" t="e">
        <f t="shared" si="48"/>
        <v>#N/A</v>
      </c>
      <c r="AQ67" s="81" t="e">
        <f t="shared" si="49"/>
        <v>#VALUE!</v>
      </c>
      <c r="AR67" s="81" t="e">
        <f t="shared" si="50"/>
        <v>#N/A</v>
      </c>
      <c r="AS67" s="81" t="e">
        <f t="shared" si="51"/>
        <v>#N/A</v>
      </c>
      <c r="AT67" s="81" t="e">
        <f t="shared" si="52"/>
        <v>#N/A</v>
      </c>
      <c r="AU67" s="81" t="e">
        <f t="shared" si="53"/>
        <v>#N/A</v>
      </c>
      <c r="AV67" s="81" t="e">
        <f t="shared" si="54"/>
        <v>#N/A</v>
      </c>
      <c r="AW67" s="81" t="e">
        <f t="shared" si="55"/>
        <v>#N/A</v>
      </c>
      <c r="AX67" s="81" t="e">
        <f t="shared" si="56"/>
        <v>#N/A</v>
      </c>
      <c r="AY67" s="81" t="e">
        <f>VLOOKUP($W67,頭囲データ!$R$10:$W$11,3,TRUE)*$W67^3+VLOOKUP($W67,頭囲データ!$R$10:$W$11,4,TRUE)*$W67^2+VLOOKUP($W67,頭囲データ!$R$10:$W$11,5,TRUE)*$W67+VLOOKUP($W67,頭囲データ!$R$10:$W$11,6,TRUE)</f>
        <v>#N/A</v>
      </c>
      <c r="AZ67" s="81" t="e">
        <f>VLOOKUP($W67,頭囲データ!$R$12:$W$16,3,TRUE)*$W67^3+VLOOKUP($W67,頭囲データ!$R$12:$W$16,4,TRUE)*$W67^2+VLOOKUP($W67,頭囲データ!$R$12:$W$16,5,TRUE)*$W67+VLOOKUP($W67,頭囲データ!$R$12:$W$16,6,TRUE)</f>
        <v>#N/A</v>
      </c>
      <c r="BA67" s="81" t="e">
        <f>VLOOKUP($W67,頭囲データ!$R$17:$W$18,3,TRUE)*$W67^3+VLOOKUP($W67,頭囲データ!$R$17:$W$18,4,TRUE)*$W67^2+VLOOKUP($W67,頭囲データ!$R$17:$W$18,5,TRUE)*$W67+VLOOKUP($W67,頭囲データ!$R$17:$W$18,6,TRUE)</f>
        <v>#N/A</v>
      </c>
      <c r="BB67" s="81" t="e">
        <f t="shared" si="57"/>
        <v>#N/A</v>
      </c>
      <c r="BC67" s="81" t="e">
        <f>VLOOKUP($W67,胸囲データ!$R$10:$W$11,3,TRUE)*$W67^3+VLOOKUP($W67,胸囲データ!$R$10:$W$11,4,TRUE)*$W67^2+VLOOKUP($W67,胸囲データ!$R$10:$W$11,5,TRUE)*$W67+VLOOKUP($W67,胸囲データ!$R$10:$W$11,6,TRUE)</f>
        <v>#N/A</v>
      </c>
      <c r="BD67" s="81" t="e">
        <f>VLOOKUP($W67,胸囲データ!$R$12:$W$16,3,TRUE)*$W67^3+VLOOKUP($W67,胸囲データ!$R$12:$W$16,4,TRUE)*$W67^2+VLOOKUP($W67,胸囲データ!$R$12:$W$16,5,TRUE)*$W67+VLOOKUP($W67,胸囲データ!$R$12:$W$16,6,TRUE)</f>
        <v>#N/A</v>
      </c>
      <c r="BE67" s="81" t="e">
        <f>VLOOKUP($W67,胸囲データ!$R$17:$W$18,3,TRUE)*$W67^3+VLOOKUP($W67,胸囲データ!$R$17:$W$18,4,TRUE)*$W67^2+VLOOKUP($W67,胸囲データ!$R$17:$W$18,5,TRUE)*$W67+VLOOKUP($W67,胸囲データ!$R$17:$W$18,6,TRUE)</f>
        <v>#N/A</v>
      </c>
    </row>
    <row r="68" spans="1:57" x14ac:dyDescent="0.15">
      <c r="A68" s="35"/>
      <c r="B68" s="36"/>
      <c r="C68" s="36"/>
      <c r="D68" s="49"/>
      <c r="E68" s="76"/>
      <c r="F68" s="51" t="str">
        <f t="shared" si="29"/>
        <v/>
      </c>
      <c r="G68" s="37" t="str">
        <f t="shared" si="33"/>
        <v/>
      </c>
      <c r="H68" s="38" t="str">
        <f>IF(ISERROR(W68),"",VLOOKUP(W68,成長曲線_データ!$D$4:$AC$214,3,TRUE))</f>
        <v/>
      </c>
      <c r="I68" s="39" t="str">
        <f t="shared" si="34"/>
        <v/>
      </c>
      <c r="J68" s="39" t="str">
        <f t="shared" si="35"/>
        <v/>
      </c>
      <c r="K68" s="39" t="str">
        <f t="shared" si="36"/>
        <v/>
      </c>
      <c r="L68" s="39" t="str">
        <f t="shared" si="32"/>
        <v/>
      </c>
      <c r="M68" s="39" t="str">
        <f t="shared" si="27"/>
        <v/>
      </c>
      <c r="N68" s="39" t="str">
        <f t="shared" si="37"/>
        <v/>
      </c>
      <c r="O68" s="40" t="str">
        <f t="shared" si="38"/>
        <v/>
      </c>
      <c r="P68" s="40" t="str">
        <f t="shared" si="39"/>
        <v/>
      </c>
      <c r="Q68" s="39" t="str">
        <f t="shared" si="8"/>
        <v/>
      </c>
      <c r="R68" s="39" t="str">
        <f t="shared" si="40"/>
        <v/>
      </c>
      <c r="S68" s="39" t="str">
        <f t="shared" si="10"/>
        <v/>
      </c>
      <c r="T68" s="41" t="str">
        <f t="shared" si="41"/>
        <v/>
      </c>
      <c r="V68" s="90"/>
      <c r="W68" s="79" t="e">
        <f t="shared" si="42"/>
        <v>#N/A</v>
      </c>
      <c r="X68" s="79" t="e">
        <f t="shared" si="43"/>
        <v>#N/A</v>
      </c>
      <c r="Y68" s="80" t="e">
        <f>IF(W68="","",VLOOKUP(W68,成長曲線_データ!$D$4:$AC$214,4,TRUE))</f>
        <v>#N/A</v>
      </c>
      <c r="Z68" s="80" t="e">
        <f>IF(W68="","",VLOOKUP(W68,成長曲線_データ!$D$4:$AC$214,12,TRUE))</f>
        <v>#N/A</v>
      </c>
      <c r="AA68" s="81" t="e">
        <f>IF(W68="","",VLOOKUP(W68,成長曲線_データ!$D$4:$AC$214,13,TRUE))</f>
        <v>#N/A</v>
      </c>
      <c r="AB68" s="94" t="e">
        <f t="shared" si="44"/>
        <v>#N/A</v>
      </c>
      <c r="AC68" s="82" t="e">
        <f>IF(W68&lt;0.5,NA(),VLOOKUP((W68+1/8),成長曲線_データ!$V$4:$AA$73,2,TRUE))</f>
        <v>#N/A</v>
      </c>
      <c r="AD68" s="82" t="e">
        <f>IF(W68&lt;1,NA(),VLOOKUP(W68,成長曲線_データ!$V$4:$AA$73,3,TRUE))</f>
        <v>#N/A</v>
      </c>
      <c r="AE68" s="82" t="e">
        <f>IF(W68&lt;=6.5,VLOOKUP(W68,頭囲データ!$C$10:$E$85,2,TRUE),NA())</f>
        <v>#N/A</v>
      </c>
      <c r="AF68" s="82" t="e">
        <f>IF(W68&lt;=6.5,VLOOKUP(W68,頭囲データ!$C$10:$E$85,3,TRUE),NA())</f>
        <v>#N/A</v>
      </c>
      <c r="AG68" s="89" t="str">
        <f>入力!F68&amp;"y"&amp;入力!G68&amp;"m"</f>
        <v>ym</v>
      </c>
      <c r="AH68" s="89" t="e">
        <f>IF(AND(入力!W68&gt;=1,入力!W68&lt;6,入力!B68&gt;=70,入力!B68&lt;=120),入力!B68,NA())</f>
        <v>#N/A</v>
      </c>
      <c r="AI68" s="89" t="e">
        <f>IF(AND(入力!W68&gt;=1,入力!W68&lt;6,入力!B68&gt;=70,入力!B68&lt;=120),入力!X68,NA())</f>
        <v>#N/A</v>
      </c>
      <c r="AJ68" s="89" t="e">
        <f>IF(AND(入力!W68&gt;=6,入力!B68&gt;=100,入力!B68&lt;=184),入力!B68,NA())</f>
        <v>#N/A</v>
      </c>
      <c r="AK68" s="89" t="e">
        <f>IF(AND(入力!W68&gt;=6,入力!B68&gt;=100,入力!B68&lt;=184),入力!X68,NA())</f>
        <v>#N/A</v>
      </c>
      <c r="AL68" s="82" t="e">
        <f t="shared" si="45"/>
        <v>#N/A</v>
      </c>
      <c r="AM68" s="82"/>
      <c r="AN68" s="80" t="e">
        <f t="shared" si="46"/>
        <v>#N/A</v>
      </c>
      <c r="AO68" s="80" t="e">
        <f t="shared" si="47"/>
        <v>#N/A</v>
      </c>
      <c r="AP68" s="81" t="e">
        <f t="shared" si="48"/>
        <v>#N/A</v>
      </c>
      <c r="AQ68" s="81" t="e">
        <f t="shared" si="49"/>
        <v>#VALUE!</v>
      </c>
      <c r="AR68" s="81" t="e">
        <f t="shared" si="50"/>
        <v>#N/A</v>
      </c>
      <c r="AS68" s="81" t="e">
        <f t="shared" si="51"/>
        <v>#N/A</v>
      </c>
      <c r="AT68" s="81" t="e">
        <f t="shared" si="52"/>
        <v>#N/A</v>
      </c>
      <c r="AU68" s="81" t="e">
        <f t="shared" si="53"/>
        <v>#N/A</v>
      </c>
      <c r="AV68" s="81" t="e">
        <f t="shared" si="54"/>
        <v>#N/A</v>
      </c>
      <c r="AW68" s="81" t="e">
        <f t="shared" si="55"/>
        <v>#N/A</v>
      </c>
      <c r="AX68" s="81" t="e">
        <f t="shared" si="56"/>
        <v>#N/A</v>
      </c>
      <c r="AY68" s="81" t="e">
        <f>VLOOKUP($W68,頭囲データ!$R$10:$W$11,3,TRUE)*$W68^3+VLOOKUP($W68,頭囲データ!$R$10:$W$11,4,TRUE)*$W68^2+VLOOKUP($W68,頭囲データ!$R$10:$W$11,5,TRUE)*$W68+VLOOKUP($W68,頭囲データ!$R$10:$W$11,6,TRUE)</f>
        <v>#N/A</v>
      </c>
      <c r="AZ68" s="81" t="e">
        <f>VLOOKUP($W68,頭囲データ!$R$12:$W$16,3,TRUE)*$W68^3+VLOOKUP($W68,頭囲データ!$R$12:$W$16,4,TRUE)*$W68^2+VLOOKUP($W68,頭囲データ!$R$12:$W$16,5,TRUE)*$W68+VLOOKUP($W68,頭囲データ!$R$12:$W$16,6,TRUE)</f>
        <v>#N/A</v>
      </c>
      <c r="BA68" s="81" t="e">
        <f>VLOOKUP($W68,頭囲データ!$R$17:$W$18,3,TRUE)*$W68^3+VLOOKUP($W68,頭囲データ!$R$17:$W$18,4,TRUE)*$W68^2+VLOOKUP($W68,頭囲データ!$R$17:$W$18,5,TRUE)*$W68+VLOOKUP($W68,頭囲データ!$R$17:$W$18,6,TRUE)</f>
        <v>#N/A</v>
      </c>
      <c r="BB68" s="81" t="e">
        <f t="shared" si="57"/>
        <v>#N/A</v>
      </c>
      <c r="BC68" s="81" t="e">
        <f>VLOOKUP($W68,胸囲データ!$R$10:$W$11,3,TRUE)*$W68^3+VLOOKUP($W68,胸囲データ!$R$10:$W$11,4,TRUE)*$W68^2+VLOOKUP($W68,胸囲データ!$R$10:$W$11,5,TRUE)*$W68+VLOOKUP($W68,胸囲データ!$R$10:$W$11,6,TRUE)</f>
        <v>#N/A</v>
      </c>
      <c r="BD68" s="81" t="e">
        <f>VLOOKUP($W68,胸囲データ!$R$12:$W$16,3,TRUE)*$W68^3+VLOOKUP($W68,胸囲データ!$R$12:$W$16,4,TRUE)*$W68^2+VLOOKUP($W68,胸囲データ!$R$12:$W$16,5,TRUE)*$W68+VLOOKUP($W68,胸囲データ!$R$12:$W$16,6,TRUE)</f>
        <v>#N/A</v>
      </c>
      <c r="BE68" s="81" t="e">
        <f>VLOOKUP($W68,胸囲データ!$R$17:$W$18,3,TRUE)*$W68^3+VLOOKUP($W68,胸囲データ!$R$17:$W$18,4,TRUE)*$W68^2+VLOOKUP($W68,胸囲データ!$R$17:$W$18,5,TRUE)*$W68+VLOOKUP($W68,胸囲データ!$R$17:$W$18,6,TRUE)</f>
        <v>#N/A</v>
      </c>
    </row>
    <row r="69" spans="1:57" x14ac:dyDescent="0.15">
      <c r="A69" s="35"/>
      <c r="B69" s="36"/>
      <c r="C69" s="36"/>
      <c r="D69" s="49"/>
      <c r="E69" s="76"/>
      <c r="F69" s="51" t="str">
        <f t="shared" si="29"/>
        <v/>
      </c>
      <c r="G69" s="37" t="str">
        <f t="shared" si="33"/>
        <v/>
      </c>
      <c r="H69" s="38" t="str">
        <f>IF(ISERROR(W69),"",VLOOKUP(W69,成長曲線_データ!$D$4:$AC$214,3,TRUE))</f>
        <v/>
      </c>
      <c r="I69" s="39" t="str">
        <f t="shared" si="34"/>
        <v/>
      </c>
      <c r="J69" s="39" t="str">
        <f t="shared" si="35"/>
        <v/>
      </c>
      <c r="K69" s="39" t="str">
        <f t="shared" si="36"/>
        <v/>
      </c>
      <c r="L69" s="39" t="str">
        <f t="shared" si="32"/>
        <v/>
      </c>
      <c r="M69" s="39" t="str">
        <f t="shared" si="27"/>
        <v/>
      </c>
      <c r="N69" s="39" t="str">
        <f t="shared" si="37"/>
        <v/>
      </c>
      <c r="O69" s="40" t="str">
        <f t="shared" si="38"/>
        <v/>
      </c>
      <c r="P69" s="40" t="str">
        <f t="shared" si="39"/>
        <v/>
      </c>
      <c r="Q69" s="39" t="str">
        <f t="shared" si="8"/>
        <v/>
      </c>
      <c r="R69" s="39" t="str">
        <f t="shared" si="40"/>
        <v/>
      </c>
      <c r="S69" s="39" t="str">
        <f t="shared" si="10"/>
        <v/>
      </c>
      <c r="T69" s="41" t="str">
        <f t="shared" si="41"/>
        <v/>
      </c>
      <c r="V69" s="90"/>
      <c r="W69" s="79" t="e">
        <f t="shared" si="42"/>
        <v>#N/A</v>
      </c>
      <c r="X69" s="79" t="e">
        <f t="shared" si="43"/>
        <v>#N/A</v>
      </c>
      <c r="Y69" s="80" t="e">
        <f>IF(W69="","",VLOOKUP(W69,成長曲線_データ!$D$4:$AC$214,4,TRUE))</f>
        <v>#N/A</v>
      </c>
      <c r="Z69" s="80" t="e">
        <f>IF(W69="","",VLOOKUP(W69,成長曲線_データ!$D$4:$AC$214,12,TRUE))</f>
        <v>#N/A</v>
      </c>
      <c r="AA69" s="81" t="e">
        <f>IF(W69="","",VLOOKUP(W69,成長曲線_データ!$D$4:$AC$214,13,TRUE))</f>
        <v>#N/A</v>
      </c>
      <c r="AB69" s="94" t="e">
        <f t="shared" si="44"/>
        <v>#N/A</v>
      </c>
      <c r="AC69" s="82" t="e">
        <f>IF(W69&lt;0.5,NA(),VLOOKUP((W69+1/8),成長曲線_データ!$V$4:$AA$73,2,TRUE))</f>
        <v>#N/A</v>
      </c>
      <c r="AD69" s="82" t="e">
        <f>IF(W69&lt;1,NA(),VLOOKUP(W69,成長曲線_データ!$V$4:$AA$73,3,TRUE))</f>
        <v>#N/A</v>
      </c>
      <c r="AE69" s="82" t="e">
        <f>IF(W69&lt;=6.5,VLOOKUP(W69,頭囲データ!$C$10:$E$85,2,TRUE),NA())</f>
        <v>#N/A</v>
      </c>
      <c r="AF69" s="82" t="e">
        <f>IF(W69&lt;=6.5,VLOOKUP(W69,頭囲データ!$C$10:$E$85,3,TRUE),NA())</f>
        <v>#N/A</v>
      </c>
      <c r="AG69" s="89" t="str">
        <f>入力!F69&amp;"y"&amp;入力!G69&amp;"m"</f>
        <v>ym</v>
      </c>
      <c r="AH69" s="89" t="e">
        <f>IF(AND(入力!W69&gt;=1,入力!W69&lt;6,入力!B69&gt;=70,入力!B69&lt;=120),入力!B69,NA())</f>
        <v>#N/A</v>
      </c>
      <c r="AI69" s="89" t="e">
        <f>IF(AND(入力!W69&gt;=1,入力!W69&lt;6,入力!B69&gt;=70,入力!B69&lt;=120),入力!X69,NA())</f>
        <v>#N/A</v>
      </c>
      <c r="AJ69" s="89" t="e">
        <f>IF(AND(入力!W69&gt;=6,入力!B69&gt;=100,入力!B69&lt;=184),入力!B69,NA())</f>
        <v>#N/A</v>
      </c>
      <c r="AK69" s="89" t="e">
        <f>IF(AND(入力!W69&gt;=6,入力!B69&gt;=100,入力!B69&lt;=184),入力!X69,NA())</f>
        <v>#N/A</v>
      </c>
      <c r="AL69" s="82" t="e">
        <f t="shared" si="45"/>
        <v>#N/A</v>
      </c>
      <c r="AM69" s="82"/>
      <c r="AN69" s="80" t="e">
        <f t="shared" si="46"/>
        <v>#N/A</v>
      </c>
      <c r="AO69" s="80" t="e">
        <f t="shared" si="47"/>
        <v>#N/A</v>
      </c>
      <c r="AP69" s="81" t="e">
        <f t="shared" si="48"/>
        <v>#N/A</v>
      </c>
      <c r="AQ69" s="81" t="e">
        <f t="shared" si="49"/>
        <v>#VALUE!</v>
      </c>
      <c r="AR69" s="81" t="e">
        <f t="shared" si="50"/>
        <v>#N/A</v>
      </c>
      <c r="AS69" s="81" t="e">
        <f t="shared" si="51"/>
        <v>#N/A</v>
      </c>
      <c r="AT69" s="81" t="e">
        <f t="shared" si="52"/>
        <v>#N/A</v>
      </c>
      <c r="AU69" s="81" t="e">
        <f t="shared" si="53"/>
        <v>#N/A</v>
      </c>
      <c r="AV69" s="81" t="e">
        <f t="shared" si="54"/>
        <v>#N/A</v>
      </c>
      <c r="AW69" s="81" t="e">
        <f t="shared" si="55"/>
        <v>#N/A</v>
      </c>
      <c r="AX69" s="81" t="e">
        <f t="shared" si="56"/>
        <v>#N/A</v>
      </c>
      <c r="AY69" s="81" t="e">
        <f>VLOOKUP($W69,頭囲データ!$R$10:$W$11,3,TRUE)*$W69^3+VLOOKUP($W69,頭囲データ!$R$10:$W$11,4,TRUE)*$W69^2+VLOOKUP($W69,頭囲データ!$R$10:$W$11,5,TRUE)*$W69+VLOOKUP($W69,頭囲データ!$R$10:$W$11,6,TRUE)</f>
        <v>#N/A</v>
      </c>
      <c r="AZ69" s="81" t="e">
        <f>VLOOKUP($W69,頭囲データ!$R$12:$W$16,3,TRUE)*$W69^3+VLOOKUP($W69,頭囲データ!$R$12:$W$16,4,TRUE)*$W69^2+VLOOKUP($W69,頭囲データ!$R$12:$W$16,5,TRUE)*$W69+VLOOKUP($W69,頭囲データ!$R$12:$W$16,6,TRUE)</f>
        <v>#N/A</v>
      </c>
      <c r="BA69" s="81" t="e">
        <f>VLOOKUP($W69,頭囲データ!$R$17:$W$18,3,TRUE)*$W69^3+VLOOKUP($W69,頭囲データ!$R$17:$W$18,4,TRUE)*$W69^2+VLOOKUP($W69,頭囲データ!$R$17:$W$18,5,TRUE)*$W69+VLOOKUP($W69,頭囲データ!$R$17:$W$18,6,TRUE)</f>
        <v>#N/A</v>
      </c>
      <c r="BB69" s="81" t="e">
        <f t="shared" si="57"/>
        <v>#N/A</v>
      </c>
      <c r="BC69" s="81" t="e">
        <f>VLOOKUP($W69,胸囲データ!$R$10:$W$11,3,TRUE)*$W69^3+VLOOKUP($W69,胸囲データ!$R$10:$W$11,4,TRUE)*$W69^2+VLOOKUP($W69,胸囲データ!$R$10:$W$11,5,TRUE)*$W69+VLOOKUP($W69,胸囲データ!$R$10:$W$11,6,TRUE)</f>
        <v>#N/A</v>
      </c>
      <c r="BD69" s="81" t="e">
        <f>VLOOKUP($W69,胸囲データ!$R$12:$W$16,3,TRUE)*$W69^3+VLOOKUP($W69,胸囲データ!$R$12:$W$16,4,TRUE)*$W69^2+VLOOKUP($W69,胸囲データ!$R$12:$W$16,5,TRUE)*$W69+VLOOKUP($W69,胸囲データ!$R$12:$W$16,6,TRUE)</f>
        <v>#N/A</v>
      </c>
      <c r="BE69" s="81" t="e">
        <f>VLOOKUP($W69,胸囲データ!$R$17:$W$18,3,TRUE)*$W69^3+VLOOKUP($W69,胸囲データ!$R$17:$W$18,4,TRUE)*$W69^2+VLOOKUP($W69,胸囲データ!$R$17:$W$18,5,TRUE)*$W69+VLOOKUP($W69,胸囲データ!$R$17:$W$18,6,TRUE)</f>
        <v>#N/A</v>
      </c>
    </row>
    <row r="70" spans="1:57" x14ac:dyDescent="0.15">
      <c r="A70" s="35"/>
      <c r="B70" s="36"/>
      <c r="C70" s="36"/>
      <c r="D70" s="49"/>
      <c r="E70" s="76"/>
      <c r="F70" s="51" t="str">
        <f t="shared" si="29"/>
        <v/>
      </c>
      <c r="G70" s="37" t="str">
        <f t="shared" si="33"/>
        <v/>
      </c>
      <c r="H70" s="38" t="str">
        <f>IF(ISERROR(W70),"",VLOOKUP(W70,成長曲線_データ!$D$4:$AC$214,3,TRUE))</f>
        <v/>
      </c>
      <c r="I70" s="39" t="str">
        <f t="shared" si="34"/>
        <v/>
      </c>
      <c r="J70" s="39" t="str">
        <f t="shared" si="35"/>
        <v/>
      </c>
      <c r="K70" s="39" t="str">
        <f t="shared" si="36"/>
        <v/>
      </c>
      <c r="L70" s="39" t="str">
        <f t="shared" si="32"/>
        <v/>
      </c>
      <c r="M70" s="39" t="str">
        <f t="shared" si="27"/>
        <v/>
      </c>
      <c r="N70" s="39" t="str">
        <f t="shared" si="37"/>
        <v/>
      </c>
      <c r="O70" s="40" t="str">
        <f t="shared" si="38"/>
        <v/>
      </c>
      <c r="P70" s="40" t="str">
        <f t="shared" si="39"/>
        <v/>
      </c>
      <c r="Q70" s="39" t="str">
        <f t="shared" si="8"/>
        <v/>
      </c>
      <c r="R70" s="39" t="str">
        <f t="shared" si="40"/>
        <v/>
      </c>
      <c r="S70" s="39" t="str">
        <f t="shared" si="10"/>
        <v/>
      </c>
      <c r="T70" s="41" t="str">
        <f t="shared" si="41"/>
        <v/>
      </c>
      <c r="V70" s="90"/>
      <c r="W70" s="79" t="e">
        <f t="shared" si="42"/>
        <v>#N/A</v>
      </c>
      <c r="X70" s="79" t="e">
        <f t="shared" si="43"/>
        <v>#N/A</v>
      </c>
      <c r="Y70" s="80" t="e">
        <f>IF(W70="","",VLOOKUP(W70,成長曲線_データ!$D$4:$AC$214,4,TRUE))</f>
        <v>#N/A</v>
      </c>
      <c r="Z70" s="80" t="e">
        <f>IF(W70="","",VLOOKUP(W70,成長曲線_データ!$D$4:$AC$214,12,TRUE))</f>
        <v>#N/A</v>
      </c>
      <c r="AA70" s="81" t="e">
        <f>IF(W70="","",VLOOKUP(W70,成長曲線_データ!$D$4:$AC$214,13,TRUE))</f>
        <v>#N/A</v>
      </c>
      <c r="AB70" s="94" t="e">
        <f t="shared" si="44"/>
        <v>#N/A</v>
      </c>
      <c r="AC70" s="82" t="e">
        <f>IF(W70&lt;0.5,NA(),VLOOKUP((W70+1/8),成長曲線_データ!$V$4:$AA$73,2,TRUE))</f>
        <v>#N/A</v>
      </c>
      <c r="AD70" s="82" t="e">
        <f>IF(W70&lt;1,NA(),VLOOKUP(W70,成長曲線_データ!$V$4:$AA$73,3,TRUE))</f>
        <v>#N/A</v>
      </c>
      <c r="AE70" s="82" t="e">
        <f>IF(W70&lt;=6.5,VLOOKUP(W70,頭囲データ!$C$10:$E$85,2,TRUE),NA())</f>
        <v>#N/A</v>
      </c>
      <c r="AF70" s="82" t="e">
        <f>IF(W70&lt;=6.5,VLOOKUP(W70,頭囲データ!$C$10:$E$85,3,TRUE),NA())</f>
        <v>#N/A</v>
      </c>
      <c r="AG70" s="89" t="str">
        <f>入力!F70&amp;"y"&amp;入力!G70&amp;"m"</f>
        <v>ym</v>
      </c>
      <c r="AH70" s="89" t="e">
        <f>IF(AND(入力!W70&gt;=1,入力!W70&lt;6,入力!B70&gt;=70,入力!B70&lt;=120),入力!B70,NA())</f>
        <v>#N/A</v>
      </c>
      <c r="AI70" s="89" t="e">
        <f>IF(AND(入力!W70&gt;=1,入力!W70&lt;6,入力!B70&gt;=70,入力!B70&lt;=120),入力!X70,NA())</f>
        <v>#N/A</v>
      </c>
      <c r="AJ70" s="89" t="e">
        <f>IF(AND(入力!W70&gt;=6,入力!B70&gt;=100,入力!B70&lt;=184),入力!B70,NA())</f>
        <v>#N/A</v>
      </c>
      <c r="AK70" s="89" t="e">
        <f>IF(AND(入力!W70&gt;=6,入力!B70&gt;=100,入力!B70&lt;=184),入力!X70,NA())</f>
        <v>#N/A</v>
      </c>
      <c r="AL70" s="82" t="e">
        <f t="shared" si="45"/>
        <v>#N/A</v>
      </c>
      <c r="AM70" s="82"/>
      <c r="AN70" s="80" t="e">
        <f t="shared" si="46"/>
        <v>#N/A</v>
      </c>
      <c r="AO70" s="80" t="e">
        <f t="shared" si="47"/>
        <v>#N/A</v>
      </c>
      <c r="AP70" s="81" t="e">
        <f t="shared" si="48"/>
        <v>#N/A</v>
      </c>
      <c r="AQ70" s="81" t="e">
        <f t="shared" si="49"/>
        <v>#VALUE!</v>
      </c>
      <c r="AR70" s="81" t="e">
        <f t="shared" si="50"/>
        <v>#N/A</v>
      </c>
      <c r="AS70" s="81" t="e">
        <f t="shared" si="51"/>
        <v>#N/A</v>
      </c>
      <c r="AT70" s="81" t="e">
        <f t="shared" si="52"/>
        <v>#N/A</v>
      </c>
      <c r="AU70" s="81" t="e">
        <f t="shared" si="53"/>
        <v>#N/A</v>
      </c>
      <c r="AV70" s="81" t="e">
        <f t="shared" si="54"/>
        <v>#N/A</v>
      </c>
      <c r="AW70" s="81" t="e">
        <f t="shared" si="55"/>
        <v>#N/A</v>
      </c>
      <c r="AX70" s="81" t="e">
        <f t="shared" si="56"/>
        <v>#N/A</v>
      </c>
      <c r="AY70" s="81" t="e">
        <f>VLOOKUP($W70,頭囲データ!$R$10:$W$11,3,TRUE)*$W70^3+VLOOKUP($W70,頭囲データ!$R$10:$W$11,4,TRUE)*$W70^2+VLOOKUP($W70,頭囲データ!$R$10:$W$11,5,TRUE)*$W70+VLOOKUP($W70,頭囲データ!$R$10:$W$11,6,TRUE)</f>
        <v>#N/A</v>
      </c>
      <c r="AZ70" s="81" t="e">
        <f>VLOOKUP($W70,頭囲データ!$R$12:$W$16,3,TRUE)*$W70^3+VLOOKUP($W70,頭囲データ!$R$12:$W$16,4,TRUE)*$W70^2+VLOOKUP($W70,頭囲データ!$R$12:$W$16,5,TRUE)*$W70+VLOOKUP($W70,頭囲データ!$R$12:$W$16,6,TRUE)</f>
        <v>#N/A</v>
      </c>
      <c r="BA70" s="81" t="e">
        <f>VLOOKUP($W70,頭囲データ!$R$17:$W$18,3,TRUE)*$W70^3+VLOOKUP($W70,頭囲データ!$R$17:$W$18,4,TRUE)*$W70^2+VLOOKUP($W70,頭囲データ!$R$17:$W$18,5,TRUE)*$W70+VLOOKUP($W70,頭囲データ!$R$17:$W$18,6,TRUE)</f>
        <v>#N/A</v>
      </c>
      <c r="BB70" s="81" t="e">
        <f t="shared" si="57"/>
        <v>#N/A</v>
      </c>
      <c r="BC70" s="81" t="e">
        <f>VLOOKUP($W70,胸囲データ!$R$10:$W$11,3,TRUE)*$W70^3+VLOOKUP($W70,胸囲データ!$R$10:$W$11,4,TRUE)*$W70^2+VLOOKUP($W70,胸囲データ!$R$10:$W$11,5,TRUE)*$W70+VLOOKUP($W70,胸囲データ!$R$10:$W$11,6,TRUE)</f>
        <v>#N/A</v>
      </c>
      <c r="BD70" s="81" t="e">
        <f>VLOOKUP($W70,胸囲データ!$R$12:$W$16,3,TRUE)*$W70^3+VLOOKUP($W70,胸囲データ!$R$12:$W$16,4,TRUE)*$W70^2+VLOOKUP($W70,胸囲データ!$R$12:$W$16,5,TRUE)*$W70+VLOOKUP($W70,胸囲データ!$R$12:$W$16,6,TRUE)</f>
        <v>#N/A</v>
      </c>
      <c r="BE70" s="81" t="e">
        <f>VLOOKUP($W70,胸囲データ!$R$17:$W$18,3,TRUE)*$W70^3+VLOOKUP($W70,胸囲データ!$R$17:$W$18,4,TRUE)*$W70^2+VLOOKUP($W70,胸囲データ!$R$17:$W$18,5,TRUE)*$W70+VLOOKUP($W70,胸囲データ!$R$17:$W$18,6,TRUE)</f>
        <v>#N/A</v>
      </c>
    </row>
    <row r="71" spans="1:57" x14ac:dyDescent="0.15">
      <c r="A71" s="35"/>
      <c r="B71" s="36"/>
      <c r="C71" s="36"/>
      <c r="D71" s="49"/>
      <c r="E71" s="76"/>
      <c r="F71" s="51" t="str">
        <f t="shared" si="29"/>
        <v/>
      </c>
      <c r="G71" s="37" t="str">
        <f t="shared" si="33"/>
        <v/>
      </c>
      <c r="H71" s="38" t="str">
        <f>IF(ISERROR(W71),"",VLOOKUP(W71,成長曲線_データ!$D$4:$AC$214,3,TRUE))</f>
        <v/>
      </c>
      <c r="I71" s="39" t="str">
        <f t="shared" ref="I71:I102" si="58">IF(OR(ISERROR(Y71),B71=""),"",(B71-H71)/Y71)</f>
        <v/>
      </c>
      <c r="J71" s="39" t="str">
        <f t="shared" ref="J71:J102" si="59">IF(ISNA(AB71),"",(B71-B70)/(A71-A70)*365.25)</f>
        <v/>
      </c>
      <c r="K71" s="39" t="str">
        <f t="shared" ref="K71:K102" si="60">IF(OR(ISERROR(AD71),J71=""),"",(J71-AC71)/AD71)</f>
        <v/>
      </c>
      <c r="L71" s="39" t="str">
        <f t="shared" si="32"/>
        <v/>
      </c>
      <c r="M71" s="39" t="str">
        <f t="shared" si="27"/>
        <v/>
      </c>
      <c r="N71" s="39" t="str">
        <f t="shared" si="37"/>
        <v/>
      </c>
      <c r="O71" s="40" t="str">
        <f t="shared" ref="O71:O102" si="61">IF(AND(B71&gt;0,ISNUMBER(X71)),10000*X71/B71^2,"")</f>
        <v/>
      </c>
      <c r="P71" s="40" t="str">
        <f t="shared" ref="P71:P102" si="62">IF(OR(ISNA(W71),ISERROR($AQ71)),"",$AQ71)</f>
        <v/>
      </c>
      <c r="Q71" s="39" t="str">
        <f t="shared" ref="Q71:Q134" si="63">IF(ISNA($AN71),"",$AN71)</f>
        <v/>
      </c>
      <c r="R71" s="39" t="str">
        <f t="shared" ref="R71:R102" si="64">IF(OR(ISNA($X71),ISNA($AN71)),"",($X71-$Q71)/$Q71*100)</f>
        <v/>
      </c>
      <c r="S71" s="39" t="str">
        <f t="shared" si="10"/>
        <v/>
      </c>
      <c r="T71" s="41" t="str">
        <f t="shared" ref="T71:T102" si="65">IF(OR(ISNA($X71),ISNA($AO71)),"",($X71-$S71)/$S71*100)</f>
        <v/>
      </c>
      <c r="V71" s="90"/>
      <c r="W71" s="79" t="e">
        <f t="shared" ref="W71:W102" si="66">IF(AND($B$3&gt;0,$A71&gt;0,$A71-$B$3&gt;=0),($A71-$B$3)/365.25,NA())</f>
        <v>#N/A</v>
      </c>
      <c r="X71" s="79" t="e">
        <f t="shared" ref="X71:X102" si="67">IF(C71="",NA(),IF(C71&lt;300,C71,C71/1000))</f>
        <v>#N/A</v>
      </c>
      <c r="Y71" s="80" t="e">
        <f>IF(W71="","",VLOOKUP(W71,成長曲線_データ!$D$4:$AC$214,4,TRUE))</f>
        <v>#N/A</v>
      </c>
      <c r="Z71" s="80" t="e">
        <f>IF(W71="","",VLOOKUP(W71,成長曲線_データ!$D$4:$AC$214,12,TRUE))</f>
        <v>#N/A</v>
      </c>
      <c r="AA71" s="81" t="e">
        <f>IF(W71="","",VLOOKUP(W71,成長曲線_データ!$D$4:$AC$214,13,TRUE))</f>
        <v>#N/A</v>
      </c>
      <c r="AB71" s="94" t="e">
        <f t="shared" ref="AB71:AB102" si="68">IF(AND(A70&gt;0,A71&gt;0,B70&gt;0,B71&gt;0),AVERAGE($W71,$W70),NA())</f>
        <v>#N/A</v>
      </c>
      <c r="AC71" s="82" t="e">
        <f>IF(W71&lt;0.5,NA(),VLOOKUP((W71+1/8),成長曲線_データ!$V$4:$AA$73,2,TRUE))</f>
        <v>#N/A</v>
      </c>
      <c r="AD71" s="82" t="e">
        <f>IF(W71&lt;1,NA(),VLOOKUP(W71,成長曲線_データ!$V$4:$AA$73,3,TRUE))</f>
        <v>#N/A</v>
      </c>
      <c r="AE71" s="82" t="e">
        <f>IF(W71&lt;=6.5,VLOOKUP(W71,頭囲データ!$C$10:$E$85,2,TRUE),NA())</f>
        <v>#N/A</v>
      </c>
      <c r="AF71" s="82" t="e">
        <f>IF(W71&lt;=6.5,VLOOKUP(W71,頭囲データ!$C$10:$E$85,3,TRUE),NA())</f>
        <v>#N/A</v>
      </c>
      <c r="AG71" s="89" t="str">
        <f>入力!F71&amp;"y"&amp;入力!G71&amp;"m"</f>
        <v>ym</v>
      </c>
      <c r="AH71" s="89" t="e">
        <f>IF(AND(入力!W71&gt;=1,入力!W71&lt;6,入力!B71&gt;=70,入力!B71&lt;=120),入力!B71,NA())</f>
        <v>#N/A</v>
      </c>
      <c r="AI71" s="89" t="e">
        <f>IF(AND(入力!W71&gt;=1,入力!W71&lt;6,入力!B71&gt;=70,入力!B71&lt;=120),入力!X71,NA())</f>
        <v>#N/A</v>
      </c>
      <c r="AJ71" s="89" t="e">
        <f>IF(AND(入力!W71&gt;=6,入力!B71&gt;=100,入力!B71&lt;=184),入力!B71,NA())</f>
        <v>#N/A</v>
      </c>
      <c r="AK71" s="89" t="e">
        <f>IF(AND(入力!W71&gt;=6,入力!B71&gt;=100,入力!B71&lt;=184),入力!X71,NA())</f>
        <v>#N/A</v>
      </c>
      <c r="AL71" s="82" t="e">
        <f t="shared" ref="AL71:AL102" si="69">IF(W71&lt;=1,W71*12,NA())</f>
        <v>#N/A</v>
      </c>
      <c r="AM71" s="82"/>
      <c r="AN71" s="80" t="e">
        <f t="shared" ref="AN71:AN102" si="70">IF(OR($B71="",ISNA($W71)),NA(),IF(AND($W71&gt;=5,$W71&lt;18),INDEX(IF($B$2="男",muratamale,muratafemale),$F71-4,2)*$B71+INDEX(IF($B$2="男",muratamale,muratafemale),$F71-4,3),NA()))</f>
        <v>#N/A</v>
      </c>
      <c r="AO71" s="80" t="e">
        <f t="shared" ref="AO71:AO102" si="71">IF($W71&lt;6,IF(AND($B71&gt;=70,$B71&lt;120),2,NA()),IF($W71&lt;18,IF($B71&gt;=101,IF($B71&gt;=140,IF($B71&gt;=149,IF($B71&gt;171+IF($B$2="男",1,0)*13,NA(),5),4),3),NA()),NA()))+IF($B$2="男",0,1)*6</f>
        <v>#N/A</v>
      </c>
      <c r="AP71" s="81" t="e">
        <f t="shared" ref="AP71:AP102" si="72">INDEX(ito,$AO71,6)*$B71^3+INDEX(ito,$AO71,7)*$B71^2+INDEX(ito,$AO71,8)*$B71+INDEX(ito,$AO71,9)</f>
        <v>#N/A</v>
      </c>
      <c r="AQ71" s="81" t="e">
        <f t="shared" ref="AQ71:AQ102" si="73">(($O71/$AU71)^$AS71-1)/($AS71*$AW71)</f>
        <v>#VALUE!</v>
      </c>
      <c r="AR71" s="81" t="e">
        <f t="shared" ref="AR71:AR102" si="74">IF($W71*12&lt;150,IF($W71*12&lt;IF($B$2="男",78,69),2,3),4)+IF($B$2="男",0,4)</f>
        <v>#N/A</v>
      </c>
      <c r="AS71" s="81" t="e">
        <f t="shared" ref="AS71:AS102" si="75">INDEX(BMI_L,$AR71,3)*($W71*12)^3+INDEX(BMI_L,$AR71,4)*($W71*12)^2+INDEX(BMI_L,$AR71,5)*($W71*12)+INDEX(BMI_L,$AR71,6)</f>
        <v>#N/A</v>
      </c>
      <c r="AT71" s="81" t="e">
        <f t="shared" ref="AT71:AT102" si="76">IF($W71*12&lt;90,IF($W71*12&lt;26.75,IF($W71*12&lt;9.5,IF($W71*12&lt;2.5,2,3),4),5),6)+IF($B$2="男",0,6)+IF(AND($B$2&lt;&gt;"男",$W71*12&gt;=150),1,0)</f>
        <v>#N/A</v>
      </c>
      <c r="AU71" s="81" t="e">
        <f t="shared" ref="AU71:AU102" si="77">INDEX(BMI_M,$AT71,3)*($W71*12)^3+INDEX(BMI_M,$AT71,4)*($W71*12)^2+INDEX(BMI_M,$AT71,5)*($W71*12)+INDEX(BMI_M,$AT71,6)</f>
        <v>#N/A</v>
      </c>
      <c r="AV71" s="81" t="e">
        <f t="shared" ref="AV71:AV102" si="78">IF($W71*12&lt;90,2,3)+IF($B$2="男",0,3)</f>
        <v>#N/A</v>
      </c>
      <c r="AW71" s="81" t="e">
        <f t="shared" ref="AW71:AW102" si="79">INDEX(BMI_S,$AV71,3)*($W71*12)^3+INDEX(BMI_S,$AV71,4)*($W71*12)^2+INDEX(BMI_S,$AV71,5)*($W71*12)+INDEX(BMI_S,$AV71,6)</f>
        <v>#N/A</v>
      </c>
      <c r="AX71" s="81" t="e">
        <f t="shared" ref="AX71:AX102" si="80">IF(AND(W71&lt;6.5,D71&gt;0),(($D71/$AZ71)^$AY71-1)/($AY71*$BA71),NA())</f>
        <v>#N/A</v>
      </c>
      <c r="AY71" s="81" t="e">
        <f>VLOOKUP($W71,頭囲データ!$R$10:$W$11,3,TRUE)*$W71^3+VLOOKUP($W71,頭囲データ!$R$10:$W$11,4,TRUE)*$W71^2+VLOOKUP($W71,頭囲データ!$R$10:$W$11,5,TRUE)*$W71+VLOOKUP($W71,頭囲データ!$R$10:$W$11,6,TRUE)</f>
        <v>#N/A</v>
      </c>
      <c r="AZ71" s="81" t="e">
        <f>VLOOKUP($W71,頭囲データ!$R$12:$W$16,3,TRUE)*$W71^3+VLOOKUP($W71,頭囲データ!$R$12:$W$16,4,TRUE)*$W71^2+VLOOKUP($W71,頭囲データ!$R$12:$W$16,5,TRUE)*$W71+VLOOKUP($W71,頭囲データ!$R$12:$W$16,6,TRUE)</f>
        <v>#N/A</v>
      </c>
      <c r="BA71" s="81" t="e">
        <f>VLOOKUP($W71,頭囲データ!$R$17:$W$18,3,TRUE)*$W71^3+VLOOKUP($W71,頭囲データ!$R$17:$W$18,4,TRUE)*$W71^2+VLOOKUP($W71,頭囲データ!$R$17:$W$18,5,TRUE)*$W71+VLOOKUP($W71,頭囲データ!$R$17:$W$18,6,TRUE)</f>
        <v>#N/A</v>
      </c>
      <c r="BB71" s="81" t="e">
        <f t="shared" ref="BB71:BB102" si="81">IF(AND(W71&lt;6.5,E71&gt;0),(($E71/$BD71)^$BC71-1)/($BC71*$BE71),NA())</f>
        <v>#N/A</v>
      </c>
      <c r="BC71" s="81" t="e">
        <f>VLOOKUP($W71,胸囲データ!$R$10:$W$11,3,TRUE)*$W71^3+VLOOKUP($W71,胸囲データ!$R$10:$W$11,4,TRUE)*$W71^2+VLOOKUP($W71,胸囲データ!$R$10:$W$11,5,TRUE)*$W71+VLOOKUP($W71,胸囲データ!$R$10:$W$11,6,TRUE)</f>
        <v>#N/A</v>
      </c>
      <c r="BD71" s="81" t="e">
        <f>VLOOKUP($W71,胸囲データ!$R$12:$W$16,3,TRUE)*$W71^3+VLOOKUP($W71,胸囲データ!$R$12:$W$16,4,TRUE)*$W71^2+VLOOKUP($W71,胸囲データ!$R$12:$W$16,5,TRUE)*$W71+VLOOKUP($W71,胸囲データ!$R$12:$W$16,6,TRUE)</f>
        <v>#N/A</v>
      </c>
      <c r="BE71" s="81" t="e">
        <f>VLOOKUP($W71,胸囲データ!$R$17:$W$18,3,TRUE)*$W71^3+VLOOKUP($W71,胸囲データ!$R$17:$W$18,4,TRUE)*$W71^2+VLOOKUP($W71,胸囲データ!$R$17:$W$18,5,TRUE)*$W71+VLOOKUP($W71,胸囲データ!$R$17:$W$18,6,TRUE)</f>
        <v>#N/A</v>
      </c>
    </row>
    <row r="72" spans="1:57" x14ac:dyDescent="0.15">
      <c r="A72" s="35"/>
      <c r="B72" s="36"/>
      <c r="C72" s="36"/>
      <c r="D72" s="49"/>
      <c r="E72" s="76"/>
      <c r="F72" s="51" t="str">
        <f t="shared" si="29"/>
        <v/>
      </c>
      <c r="G72" s="37" t="str">
        <f t="shared" ref="G72:G135" si="82">IF(ISNA($W72),"",INT(($W72-INT($W72))*12))</f>
        <v/>
      </c>
      <c r="H72" s="38" t="str">
        <f>IF(ISERROR(W72),"",VLOOKUP(W72,成長曲線_データ!$D$4:$AC$214,3,TRUE))</f>
        <v/>
      </c>
      <c r="I72" s="39" t="str">
        <f t="shared" si="58"/>
        <v/>
      </c>
      <c r="J72" s="39" t="str">
        <f t="shared" si="59"/>
        <v/>
      </c>
      <c r="K72" s="39" t="str">
        <f t="shared" si="60"/>
        <v/>
      </c>
      <c r="L72" s="39" t="str">
        <f t="shared" si="32"/>
        <v/>
      </c>
      <c r="M72" s="39" t="str">
        <f t="shared" ref="M72:M135" si="83">IF(OR(D72="",ISNA(AE72)),"",(D72-AE72)/AF72)</f>
        <v/>
      </c>
      <c r="N72" s="39" t="str">
        <f t="shared" ref="N72:N135" si="84">IF(ISERROR($BB72),"",$BB72)</f>
        <v/>
      </c>
      <c r="O72" s="40" t="str">
        <f t="shared" si="61"/>
        <v/>
      </c>
      <c r="P72" s="40" t="str">
        <f t="shared" si="62"/>
        <v/>
      </c>
      <c r="Q72" s="39" t="str">
        <f t="shared" si="63"/>
        <v/>
      </c>
      <c r="R72" s="39" t="str">
        <f t="shared" si="64"/>
        <v/>
      </c>
      <c r="S72" s="39" t="str">
        <f t="shared" ref="S72:S135" si="85">IF(ISNA($AP72),"",$AP72)</f>
        <v/>
      </c>
      <c r="T72" s="41" t="str">
        <f t="shared" si="65"/>
        <v/>
      </c>
      <c r="V72" s="90"/>
      <c r="W72" s="79" t="e">
        <f t="shared" si="66"/>
        <v>#N/A</v>
      </c>
      <c r="X72" s="79" t="e">
        <f t="shared" si="67"/>
        <v>#N/A</v>
      </c>
      <c r="Y72" s="80" t="e">
        <f>IF(W72="","",VLOOKUP(W72,成長曲線_データ!$D$4:$AC$214,4,TRUE))</f>
        <v>#N/A</v>
      </c>
      <c r="Z72" s="80" t="e">
        <f>IF(W72="","",VLOOKUP(W72,成長曲線_データ!$D$4:$AC$214,12,TRUE))</f>
        <v>#N/A</v>
      </c>
      <c r="AA72" s="81" t="e">
        <f>IF(W72="","",VLOOKUP(W72,成長曲線_データ!$D$4:$AC$214,13,TRUE))</f>
        <v>#N/A</v>
      </c>
      <c r="AB72" s="94" t="e">
        <f t="shared" si="68"/>
        <v>#N/A</v>
      </c>
      <c r="AC72" s="82" t="e">
        <f>IF(W72&lt;0.5,NA(),VLOOKUP((W72+1/8),成長曲線_データ!$V$4:$AA$73,2,TRUE))</f>
        <v>#N/A</v>
      </c>
      <c r="AD72" s="82" t="e">
        <f>IF(W72&lt;1,NA(),VLOOKUP(W72,成長曲線_データ!$V$4:$AA$73,3,TRUE))</f>
        <v>#N/A</v>
      </c>
      <c r="AE72" s="82" t="e">
        <f>IF(W72&lt;=6.5,VLOOKUP(W72,頭囲データ!$C$10:$E$85,2,TRUE),NA())</f>
        <v>#N/A</v>
      </c>
      <c r="AF72" s="82" t="e">
        <f>IF(W72&lt;=6.5,VLOOKUP(W72,頭囲データ!$C$10:$E$85,3,TRUE),NA())</f>
        <v>#N/A</v>
      </c>
      <c r="AG72" s="89" t="str">
        <f>入力!F72&amp;"y"&amp;入力!G72&amp;"m"</f>
        <v>ym</v>
      </c>
      <c r="AH72" s="89" t="e">
        <f>IF(AND(入力!W72&gt;=1,入力!W72&lt;6,入力!B72&gt;=70,入力!B72&lt;=120),入力!B72,NA())</f>
        <v>#N/A</v>
      </c>
      <c r="AI72" s="89" t="e">
        <f>IF(AND(入力!W72&gt;=1,入力!W72&lt;6,入力!B72&gt;=70,入力!B72&lt;=120),入力!X72,NA())</f>
        <v>#N/A</v>
      </c>
      <c r="AJ72" s="89" t="e">
        <f>IF(AND(入力!W72&gt;=6,入力!B72&gt;=100,入力!B72&lt;=184),入力!B72,NA())</f>
        <v>#N/A</v>
      </c>
      <c r="AK72" s="89" t="e">
        <f>IF(AND(入力!W72&gt;=6,入力!B72&gt;=100,入力!B72&lt;=184),入力!X72,NA())</f>
        <v>#N/A</v>
      </c>
      <c r="AL72" s="82" t="e">
        <f t="shared" si="69"/>
        <v>#N/A</v>
      </c>
      <c r="AM72" s="82"/>
      <c r="AN72" s="80" t="e">
        <f t="shared" si="70"/>
        <v>#N/A</v>
      </c>
      <c r="AO72" s="80" t="e">
        <f t="shared" si="71"/>
        <v>#N/A</v>
      </c>
      <c r="AP72" s="81" t="e">
        <f t="shared" si="72"/>
        <v>#N/A</v>
      </c>
      <c r="AQ72" s="81" t="e">
        <f t="shared" si="73"/>
        <v>#VALUE!</v>
      </c>
      <c r="AR72" s="81" t="e">
        <f t="shared" si="74"/>
        <v>#N/A</v>
      </c>
      <c r="AS72" s="81" t="e">
        <f t="shared" si="75"/>
        <v>#N/A</v>
      </c>
      <c r="AT72" s="81" t="e">
        <f t="shared" si="76"/>
        <v>#N/A</v>
      </c>
      <c r="AU72" s="81" t="e">
        <f t="shared" si="77"/>
        <v>#N/A</v>
      </c>
      <c r="AV72" s="81" t="e">
        <f t="shared" si="78"/>
        <v>#N/A</v>
      </c>
      <c r="AW72" s="81" t="e">
        <f t="shared" si="79"/>
        <v>#N/A</v>
      </c>
      <c r="AX72" s="81" t="e">
        <f t="shared" si="80"/>
        <v>#N/A</v>
      </c>
      <c r="AY72" s="81" t="e">
        <f>VLOOKUP($W72,頭囲データ!$R$10:$W$11,3,TRUE)*$W72^3+VLOOKUP($W72,頭囲データ!$R$10:$W$11,4,TRUE)*$W72^2+VLOOKUP($W72,頭囲データ!$R$10:$W$11,5,TRUE)*$W72+VLOOKUP($W72,頭囲データ!$R$10:$W$11,6,TRUE)</f>
        <v>#N/A</v>
      </c>
      <c r="AZ72" s="81" t="e">
        <f>VLOOKUP($W72,頭囲データ!$R$12:$W$16,3,TRUE)*$W72^3+VLOOKUP($W72,頭囲データ!$R$12:$W$16,4,TRUE)*$W72^2+VLOOKUP($W72,頭囲データ!$R$12:$W$16,5,TRUE)*$W72+VLOOKUP($W72,頭囲データ!$R$12:$W$16,6,TRUE)</f>
        <v>#N/A</v>
      </c>
      <c r="BA72" s="81" t="e">
        <f>VLOOKUP($W72,頭囲データ!$R$17:$W$18,3,TRUE)*$W72^3+VLOOKUP($W72,頭囲データ!$R$17:$W$18,4,TRUE)*$W72^2+VLOOKUP($W72,頭囲データ!$R$17:$W$18,5,TRUE)*$W72+VLOOKUP($W72,頭囲データ!$R$17:$W$18,6,TRUE)</f>
        <v>#N/A</v>
      </c>
      <c r="BB72" s="81" t="e">
        <f t="shared" si="81"/>
        <v>#N/A</v>
      </c>
      <c r="BC72" s="81" t="e">
        <f>VLOOKUP($W72,胸囲データ!$R$10:$W$11,3,TRUE)*$W72^3+VLOOKUP($W72,胸囲データ!$R$10:$W$11,4,TRUE)*$W72^2+VLOOKUP($W72,胸囲データ!$R$10:$W$11,5,TRUE)*$W72+VLOOKUP($W72,胸囲データ!$R$10:$W$11,6,TRUE)</f>
        <v>#N/A</v>
      </c>
      <c r="BD72" s="81" t="e">
        <f>VLOOKUP($W72,胸囲データ!$R$12:$W$16,3,TRUE)*$W72^3+VLOOKUP($W72,胸囲データ!$R$12:$W$16,4,TRUE)*$W72^2+VLOOKUP($W72,胸囲データ!$R$12:$W$16,5,TRUE)*$W72+VLOOKUP($W72,胸囲データ!$R$12:$W$16,6,TRUE)</f>
        <v>#N/A</v>
      </c>
      <c r="BE72" s="81" t="e">
        <f>VLOOKUP($W72,胸囲データ!$R$17:$W$18,3,TRUE)*$W72^3+VLOOKUP($W72,胸囲データ!$R$17:$W$18,4,TRUE)*$W72^2+VLOOKUP($W72,胸囲データ!$R$17:$W$18,5,TRUE)*$W72+VLOOKUP($W72,胸囲データ!$R$17:$W$18,6,TRUE)</f>
        <v>#N/A</v>
      </c>
    </row>
    <row r="73" spans="1:57" x14ac:dyDescent="0.15">
      <c r="A73" s="35"/>
      <c r="B73" s="36"/>
      <c r="C73" s="36"/>
      <c r="D73" s="49"/>
      <c r="E73" s="76"/>
      <c r="F73" s="51" t="str">
        <f t="shared" si="29"/>
        <v/>
      </c>
      <c r="G73" s="37" t="str">
        <f t="shared" si="82"/>
        <v/>
      </c>
      <c r="H73" s="38" t="str">
        <f>IF(ISERROR(W73),"",VLOOKUP(W73,成長曲線_データ!$D$4:$AC$214,3,TRUE))</f>
        <v/>
      </c>
      <c r="I73" s="39" t="str">
        <f t="shared" si="58"/>
        <v/>
      </c>
      <c r="J73" s="39" t="str">
        <f t="shared" si="59"/>
        <v/>
      </c>
      <c r="K73" s="39" t="str">
        <f t="shared" si="60"/>
        <v/>
      </c>
      <c r="L73" s="39" t="str">
        <f t="shared" si="32"/>
        <v/>
      </c>
      <c r="M73" s="39" t="str">
        <f t="shared" si="83"/>
        <v/>
      </c>
      <c r="N73" s="39" t="str">
        <f t="shared" si="84"/>
        <v/>
      </c>
      <c r="O73" s="40" t="str">
        <f t="shared" si="61"/>
        <v/>
      </c>
      <c r="P73" s="40" t="str">
        <f t="shared" si="62"/>
        <v/>
      </c>
      <c r="Q73" s="39" t="str">
        <f t="shared" si="63"/>
        <v/>
      </c>
      <c r="R73" s="39" t="str">
        <f t="shared" si="64"/>
        <v/>
      </c>
      <c r="S73" s="39" t="str">
        <f t="shared" si="85"/>
        <v/>
      </c>
      <c r="T73" s="41" t="str">
        <f t="shared" si="65"/>
        <v/>
      </c>
      <c r="V73" s="90"/>
      <c r="W73" s="79" t="e">
        <f t="shared" si="66"/>
        <v>#N/A</v>
      </c>
      <c r="X73" s="79" t="e">
        <f t="shared" si="67"/>
        <v>#N/A</v>
      </c>
      <c r="Y73" s="80" t="e">
        <f>IF(W73="","",VLOOKUP(W73,成長曲線_データ!$D$4:$AC$214,4,TRUE))</f>
        <v>#N/A</v>
      </c>
      <c r="Z73" s="80" t="e">
        <f>IF(W73="","",VLOOKUP(W73,成長曲線_データ!$D$4:$AC$214,12,TRUE))</f>
        <v>#N/A</v>
      </c>
      <c r="AA73" s="81" t="e">
        <f>IF(W73="","",VLOOKUP(W73,成長曲線_データ!$D$4:$AC$214,13,TRUE))</f>
        <v>#N/A</v>
      </c>
      <c r="AB73" s="94" t="e">
        <f t="shared" si="68"/>
        <v>#N/A</v>
      </c>
      <c r="AC73" s="82" t="e">
        <f>IF(W73&lt;0.5,NA(),VLOOKUP((W73+1/8),成長曲線_データ!$V$4:$AA$73,2,TRUE))</f>
        <v>#N/A</v>
      </c>
      <c r="AD73" s="82" t="e">
        <f>IF(W73&lt;1,NA(),VLOOKUP(W73,成長曲線_データ!$V$4:$AA$73,3,TRUE))</f>
        <v>#N/A</v>
      </c>
      <c r="AE73" s="82" t="e">
        <f>IF(W73&lt;=6.5,VLOOKUP(W73,頭囲データ!$C$10:$E$85,2,TRUE),NA())</f>
        <v>#N/A</v>
      </c>
      <c r="AF73" s="82" t="e">
        <f>IF(W73&lt;=6.5,VLOOKUP(W73,頭囲データ!$C$10:$E$85,3,TRUE),NA())</f>
        <v>#N/A</v>
      </c>
      <c r="AG73" s="89" t="str">
        <f>入力!F73&amp;"y"&amp;入力!G73&amp;"m"</f>
        <v>ym</v>
      </c>
      <c r="AH73" s="89" t="e">
        <f>IF(AND(入力!W73&gt;=1,入力!W73&lt;6,入力!B73&gt;=70,入力!B73&lt;=120),入力!B73,NA())</f>
        <v>#N/A</v>
      </c>
      <c r="AI73" s="89" t="e">
        <f>IF(AND(入力!W73&gt;=1,入力!W73&lt;6,入力!B73&gt;=70,入力!B73&lt;=120),入力!X73,NA())</f>
        <v>#N/A</v>
      </c>
      <c r="AJ73" s="89" t="e">
        <f>IF(AND(入力!W73&gt;=6,入力!B73&gt;=100,入力!B73&lt;=184),入力!B73,NA())</f>
        <v>#N/A</v>
      </c>
      <c r="AK73" s="89" t="e">
        <f>IF(AND(入力!W73&gt;=6,入力!B73&gt;=100,入力!B73&lt;=184),入力!X73,NA())</f>
        <v>#N/A</v>
      </c>
      <c r="AL73" s="82" t="e">
        <f t="shared" si="69"/>
        <v>#N/A</v>
      </c>
      <c r="AM73" s="82"/>
      <c r="AN73" s="80" t="e">
        <f t="shared" si="70"/>
        <v>#N/A</v>
      </c>
      <c r="AO73" s="80" t="e">
        <f t="shared" si="71"/>
        <v>#N/A</v>
      </c>
      <c r="AP73" s="81" t="e">
        <f t="shared" si="72"/>
        <v>#N/A</v>
      </c>
      <c r="AQ73" s="81" t="e">
        <f t="shared" si="73"/>
        <v>#VALUE!</v>
      </c>
      <c r="AR73" s="81" t="e">
        <f t="shared" si="74"/>
        <v>#N/A</v>
      </c>
      <c r="AS73" s="81" t="e">
        <f t="shared" si="75"/>
        <v>#N/A</v>
      </c>
      <c r="AT73" s="81" t="e">
        <f t="shared" si="76"/>
        <v>#N/A</v>
      </c>
      <c r="AU73" s="81" t="e">
        <f t="shared" si="77"/>
        <v>#N/A</v>
      </c>
      <c r="AV73" s="81" t="e">
        <f t="shared" si="78"/>
        <v>#N/A</v>
      </c>
      <c r="AW73" s="81" t="e">
        <f t="shared" si="79"/>
        <v>#N/A</v>
      </c>
      <c r="AX73" s="81" t="e">
        <f t="shared" si="80"/>
        <v>#N/A</v>
      </c>
      <c r="AY73" s="81" t="e">
        <f>VLOOKUP($W73,頭囲データ!$R$10:$W$11,3,TRUE)*$W73^3+VLOOKUP($W73,頭囲データ!$R$10:$W$11,4,TRUE)*$W73^2+VLOOKUP($W73,頭囲データ!$R$10:$W$11,5,TRUE)*$W73+VLOOKUP($W73,頭囲データ!$R$10:$W$11,6,TRUE)</f>
        <v>#N/A</v>
      </c>
      <c r="AZ73" s="81" t="e">
        <f>VLOOKUP($W73,頭囲データ!$R$12:$W$16,3,TRUE)*$W73^3+VLOOKUP($W73,頭囲データ!$R$12:$W$16,4,TRUE)*$W73^2+VLOOKUP($W73,頭囲データ!$R$12:$W$16,5,TRUE)*$W73+VLOOKUP($W73,頭囲データ!$R$12:$W$16,6,TRUE)</f>
        <v>#N/A</v>
      </c>
      <c r="BA73" s="81" t="e">
        <f>VLOOKUP($W73,頭囲データ!$R$17:$W$18,3,TRUE)*$W73^3+VLOOKUP($W73,頭囲データ!$R$17:$W$18,4,TRUE)*$W73^2+VLOOKUP($W73,頭囲データ!$R$17:$W$18,5,TRUE)*$W73+VLOOKUP($W73,頭囲データ!$R$17:$W$18,6,TRUE)</f>
        <v>#N/A</v>
      </c>
      <c r="BB73" s="81" t="e">
        <f t="shared" si="81"/>
        <v>#N/A</v>
      </c>
      <c r="BC73" s="81" t="e">
        <f>VLOOKUP($W73,胸囲データ!$R$10:$W$11,3,TRUE)*$W73^3+VLOOKUP($W73,胸囲データ!$R$10:$W$11,4,TRUE)*$W73^2+VLOOKUP($W73,胸囲データ!$R$10:$W$11,5,TRUE)*$W73+VLOOKUP($W73,胸囲データ!$R$10:$W$11,6,TRUE)</f>
        <v>#N/A</v>
      </c>
      <c r="BD73" s="81" t="e">
        <f>VLOOKUP($W73,胸囲データ!$R$12:$W$16,3,TRUE)*$W73^3+VLOOKUP($W73,胸囲データ!$R$12:$W$16,4,TRUE)*$W73^2+VLOOKUP($W73,胸囲データ!$R$12:$W$16,5,TRUE)*$W73+VLOOKUP($W73,胸囲データ!$R$12:$W$16,6,TRUE)</f>
        <v>#N/A</v>
      </c>
      <c r="BE73" s="81" t="e">
        <f>VLOOKUP($W73,胸囲データ!$R$17:$W$18,3,TRUE)*$W73^3+VLOOKUP($W73,胸囲データ!$R$17:$W$18,4,TRUE)*$W73^2+VLOOKUP($W73,胸囲データ!$R$17:$W$18,5,TRUE)*$W73+VLOOKUP($W73,胸囲データ!$R$17:$W$18,6,TRUE)</f>
        <v>#N/A</v>
      </c>
    </row>
    <row r="74" spans="1:57" x14ac:dyDescent="0.15">
      <c r="A74" s="35"/>
      <c r="B74" s="36"/>
      <c r="C74" s="36"/>
      <c r="D74" s="49"/>
      <c r="E74" s="76"/>
      <c r="F74" s="51" t="str">
        <f t="shared" ref="F74:F137" si="86">IF(ISNA(W74),"",INT(W74))</f>
        <v/>
      </c>
      <c r="G74" s="37" t="str">
        <f t="shared" si="82"/>
        <v/>
      </c>
      <c r="H74" s="38" t="str">
        <f>IF(ISERROR(W74),"",VLOOKUP(W74,成長曲線_データ!$D$4:$AC$214,3,TRUE))</f>
        <v/>
      </c>
      <c r="I74" s="39" t="str">
        <f t="shared" si="58"/>
        <v/>
      </c>
      <c r="J74" s="39" t="str">
        <f t="shared" si="59"/>
        <v/>
      </c>
      <c r="K74" s="39" t="str">
        <f t="shared" si="60"/>
        <v/>
      </c>
      <c r="L74" s="39" t="str">
        <f t="shared" si="32"/>
        <v/>
      </c>
      <c r="M74" s="39" t="str">
        <f t="shared" si="83"/>
        <v/>
      </c>
      <c r="N74" s="39" t="str">
        <f t="shared" si="84"/>
        <v/>
      </c>
      <c r="O74" s="40" t="str">
        <f t="shared" si="61"/>
        <v/>
      </c>
      <c r="P74" s="40" t="str">
        <f t="shared" si="62"/>
        <v/>
      </c>
      <c r="Q74" s="39" t="str">
        <f t="shared" si="63"/>
        <v/>
      </c>
      <c r="R74" s="39" t="str">
        <f t="shared" si="64"/>
        <v/>
      </c>
      <c r="S74" s="39" t="str">
        <f t="shared" si="85"/>
        <v/>
      </c>
      <c r="T74" s="41" t="str">
        <f t="shared" si="65"/>
        <v/>
      </c>
      <c r="V74" s="90"/>
      <c r="W74" s="79" t="e">
        <f t="shared" si="66"/>
        <v>#N/A</v>
      </c>
      <c r="X74" s="79" t="e">
        <f t="shared" si="67"/>
        <v>#N/A</v>
      </c>
      <c r="Y74" s="80" t="e">
        <f>IF(W74="","",VLOOKUP(W74,成長曲線_データ!$D$4:$AC$214,4,TRUE))</f>
        <v>#N/A</v>
      </c>
      <c r="Z74" s="80" t="e">
        <f>IF(W74="","",VLOOKUP(W74,成長曲線_データ!$D$4:$AC$214,12,TRUE))</f>
        <v>#N/A</v>
      </c>
      <c r="AA74" s="81" t="e">
        <f>IF(W74="","",VLOOKUP(W74,成長曲線_データ!$D$4:$AC$214,13,TRUE))</f>
        <v>#N/A</v>
      </c>
      <c r="AB74" s="94" t="e">
        <f t="shared" si="68"/>
        <v>#N/A</v>
      </c>
      <c r="AC74" s="82" t="e">
        <f>IF(W74&lt;0.5,NA(),VLOOKUP((W74+1/8),成長曲線_データ!$V$4:$AA$73,2,TRUE))</f>
        <v>#N/A</v>
      </c>
      <c r="AD74" s="82" t="e">
        <f>IF(W74&lt;1,NA(),VLOOKUP(W74,成長曲線_データ!$V$4:$AA$73,3,TRUE))</f>
        <v>#N/A</v>
      </c>
      <c r="AE74" s="82" t="e">
        <f>IF(W74&lt;=6.5,VLOOKUP(W74,頭囲データ!$C$10:$E$85,2,TRUE),NA())</f>
        <v>#N/A</v>
      </c>
      <c r="AF74" s="82" t="e">
        <f>IF(W74&lt;=6.5,VLOOKUP(W74,頭囲データ!$C$10:$E$85,3,TRUE),NA())</f>
        <v>#N/A</v>
      </c>
      <c r="AG74" s="89" t="str">
        <f>入力!F74&amp;"y"&amp;入力!G74&amp;"m"</f>
        <v>ym</v>
      </c>
      <c r="AH74" s="89" t="e">
        <f>IF(AND(入力!W74&gt;=1,入力!W74&lt;6,入力!B74&gt;=70,入力!B74&lt;=120),入力!B74,NA())</f>
        <v>#N/A</v>
      </c>
      <c r="AI74" s="89" t="e">
        <f>IF(AND(入力!W74&gt;=1,入力!W74&lt;6,入力!B74&gt;=70,入力!B74&lt;=120),入力!X74,NA())</f>
        <v>#N/A</v>
      </c>
      <c r="AJ74" s="89" t="e">
        <f>IF(AND(入力!W74&gt;=6,入力!B74&gt;=100,入力!B74&lt;=184),入力!B74,NA())</f>
        <v>#N/A</v>
      </c>
      <c r="AK74" s="89" t="e">
        <f>IF(AND(入力!W74&gt;=6,入力!B74&gt;=100,入力!B74&lt;=184),入力!X74,NA())</f>
        <v>#N/A</v>
      </c>
      <c r="AL74" s="82" t="e">
        <f t="shared" si="69"/>
        <v>#N/A</v>
      </c>
      <c r="AM74" s="82"/>
      <c r="AN74" s="80" t="e">
        <f t="shared" si="70"/>
        <v>#N/A</v>
      </c>
      <c r="AO74" s="80" t="e">
        <f t="shared" si="71"/>
        <v>#N/A</v>
      </c>
      <c r="AP74" s="81" t="e">
        <f t="shared" si="72"/>
        <v>#N/A</v>
      </c>
      <c r="AQ74" s="81" t="e">
        <f t="shared" si="73"/>
        <v>#VALUE!</v>
      </c>
      <c r="AR74" s="81" t="e">
        <f t="shared" si="74"/>
        <v>#N/A</v>
      </c>
      <c r="AS74" s="81" t="e">
        <f t="shared" si="75"/>
        <v>#N/A</v>
      </c>
      <c r="AT74" s="81" t="e">
        <f t="shared" si="76"/>
        <v>#N/A</v>
      </c>
      <c r="AU74" s="81" t="e">
        <f t="shared" si="77"/>
        <v>#N/A</v>
      </c>
      <c r="AV74" s="81" t="e">
        <f t="shared" si="78"/>
        <v>#N/A</v>
      </c>
      <c r="AW74" s="81" t="e">
        <f t="shared" si="79"/>
        <v>#N/A</v>
      </c>
      <c r="AX74" s="81" t="e">
        <f t="shared" si="80"/>
        <v>#N/A</v>
      </c>
      <c r="AY74" s="81" t="e">
        <f>VLOOKUP($W74,頭囲データ!$R$10:$W$11,3,TRUE)*$W74^3+VLOOKUP($W74,頭囲データ!$R$10:$W$11,4,TRUE)*$W74^2+VLOOKUP($W74,頭囲データ!$R$10:$W$11,5,TRUE)*$W74+VLOOKUP($W74,頭囲データ!$R$10:$W$11,6,TRUE)</f>
        <v>#N/A</v>
      </c>
      <c r="AZ74" s="81" t="e">
        <f>VLOOKUP($W74,頭囲データ!$R$12:$W$16,3,TRUE)*$W74^3+VLOOKUP($W74,頭囲データ!$R$12:$W$16,4,TRUE)*$W74^2+VLOOKUP($W74,頭囲データ!$R$12:$W$16,5,TRUE)*$W74+VLOOKUP($W74,頭囲データ!$R$12:$W$16,6,TRUE)</f>
        <v>#N/A</v>
      </c>
      <c r="BA74" s="81" t="e">
        <f>VLOOKUP($W74,頭囲データ!$R$17:$W$18,3,TRUE)*$W74^3+VLOOKUP($W74,頭囲データ!$R$17:$W$18,4,TRUE)*$W74^2+VLOOKUP($W74,頭囲データ!$R$17:$W$18,5,TRUE)*$W74+VLOOKUP($W74,頭囲データ!$R$17:$W$18,6,TRUE)</f>
        <v>#N/A</v>
      </c>
      <c r="BB74" s="81" t="e">
        <f t="shared" si="81"/>
        <v>#N/A</v>
      </c>
      <c r="BC74" s="81" t="e">
        <f>VLOOKUP($W74,胸囲データ!$R$10:$W$11,3,TRUE)*$W74^3+VLOOKUP($W74,胸囲データ!$R$10:$W$11,4,TRUE)*$W74^2+VLOOKUP($W74,胸囲データ!$R$10:$W$11,5,TRUE)*$W74+VLOOKUP($W74,胸囲データ!$R$10:$W$11,6,TRUE)</f>
        <v>#N/A</v>
      </c>
      <c r="BD74" s="81" t="e">
        <f>VLOOKUP($W74,胸囲データ!$R$12:$W$16,3,TRUE)*$W74^3+VLOOKUP($W74,胸囲データ!$R$12:$W$16,4,TRUE)*$W74^2+VLOOKUP($W74,胸囲データ!$R$12:$W$16,5,TRUE)*$W74+VLOOKUP($W74,胸囲データ!$R$12:$W$16,6,TRUE)</f>
        <v>#N/A</v>
      </c>
      <c r="BE74" s="81" t="e">
        <f>VLOOKUP($W74,胸囲データ!$R$17:$W$18,3,TRUE)*$W74^3+VLOOKUP($W74,胸囲データ!$R$17:$W$18,4,TRUE)*$W74^2+VLOOKUP($W74,胸囲データ!$R$17:$W$18,5,TRUE)*$W74+VLOOKUP($W74,胸囲データ!$R$17:$W$18,6,TRUE)</f>
        <v>#N/A</v>
      </c>
    </row>
    <row r="75" spans="1:57" x14ac:dyDescent="0.15">
      <c r="A75" s="35"/>
      <c r="B75" s="36"/>
      <c r="C75" s="36"/>
      <c r="D75" s="49"/>
      <c r="E75" s="76"/>
      <c r="F75" s="51" t="str">
        <f t="shared" si="86"/>
        <v/>
      </c>
      <c r="G75" s="37" t="str">
        <f t="shared" si="82"/>
        <v/>
      </c>
      <c r="H75" s="38" t="str">
        <f>IF(ISERROR(W75),"",VLOOKUP(W75,成長曲線_データ!$D$4:$AC$214,3,TRUE))</f>
        <v/>
      </c>
      <c r="I75" s="39" t="str">
        <f t="shared" si="58"/>
        <v/>
      </c>
      <c r="J75" s="39" t="str">
        <f t="shared" si="59"/>
        <v/>
      </c>
      <c r="K75" s="39" t="str">
        <f t="shared" si="60"/>
        <v/>
      </c>
      <c r="L75" s="39" t="str">
        <f t="shared" si="32"/>
        <v/>
      </c>
      <c r="M75" s="39" t="str">
        <f t="shared" si="83"/>
        <v/>
      </c>
      <c r="N75" s="39" t="str">
        <f t="shared" si="84"/>
        <v/>
      </c>
      <c r="O75" s="40" t="str">
        <f t="shared" si="61"/>
        <v/>
      </c>
      <c r="P75" s="40" t="str">
        <f t="shared" si="62"/>
        <v/>
      </c>
      <c r="Q75" s="39" t="str">
        <f t="shared" si="63"/>
        <v/>
      </c>
      <c r="R75" s="39" t="str">
        <f t="shared" si="64"/>
        <v/>
      </c>
      <c r="S75" s="39" t="str">
        <f t="shared" si="85"/>
        <v/>
      </c>
      <c r="T75" s="41" t="str">
        <f t="shared" si="65"/>
        <v/>
      </c>
      <c r="V75" s="90"/>
      <c r="W75" s="79" t="e">
        <f t="shared" si="66"/>
        <v>#N/A</v>
      </c>
      <c r="X75" s="79" t="e">
        <f t="shared" si="67"/>
        <v>#N/A</v>
      </c>
      <c r="Y75" s="80" t="e">
        <f>IF(W75="","",VLOOKUP(W75,成長曲線_データ!$D$4:$AC$214,4,TRUE))</f>
        <v>#N/A</v>
      </c>
      <c r="Z75" s="80" t="e">
        <f>IF(W75="","",VLOOKUP(W75,成長曲線_データ!$D$4:$AC$214,12,TRUE))</f>
        <v>#N/A</v>
      </c>
      <c r="AA75" s="81" t="e">
        <f>IF(W75="","",VLOOKUP(W75,成長曲線_データ!$D$4:$AC$214,13,TRUE))</f>
        <v>#N/A</v>
      </c>
      <c r="AB75" s="94" t="e">
        <f t="shared" si="68"/>
        <v>#N/A</v>
      </c>
      <c r="AC75" s="82" t="e">
        <f>IF(W75&lt;0.5,NA(),VLOOKUP((W75+1/8),成長曲線_データ!$V$4:$AA$73,2,TRUE))</f>
        <v>#N/A</v>
      </c>
      <c r="AD75" s="82" t="e">
        <f>IF(W75&lt;1,NA(),VLOOKUP(W75,成長曲線_データ!$V$4:$AA$73,3,TRUE))</f>
        <v>#N/A</v>
      </c>
      <c r="AE75" s="82" t="e">
        <f>IF(W75&lt;=6.5,VLOOKUP(W75,頭囲データ!$C$10:$E$85,2,TRUE),NA())</f>
        <v>#N/A</v>
      </c>
      <c r="AF75" s="82" t="e">
        <f>IF(W75&lt;=6.5,VLOOKUP(W75,頭囲データ!$C$10:$E$85,3,TRUE),NA())</f>
        <v>#N/A</v>
      </c>
      <c r="AG75" s="89" t="str">
        <f>入力!F75&amp;"y"&amp;入力!G75&amp;"m"</f>
        <v>ym</v>
      </c>
      <c r="AH75" s="89" t="e">
        <f>IF(AND(入力!W75&gt;=1,入力!W75&lt;6,入力!B75&gt;=70,入力!B75&lt;=120),入力!B75,NA())</f>
        <v>#N/A</v>
      </c>
      <c r="AI75" s="89" t="e">
        <f>IF(AND(入力!W75&gt;=1,入力!W75&lt;6,入力!B75&gt;=70,入力!B75&lt;=120),入力!X75,NA())</f>
        <v>#N/A</v>
      </c>
      <c r="AJ75" s="89" t="e">
        <f>IF(AND(入力!W75&gt;=6,入力!B75&gt;=100,入力!B75&lt;=184),入力!B75,NA())</f>
        <v>#N/A</v>
      </c>
      <c r="AK75" s="89" t="e">
        <f>IF(AND(入力!W75&gt;=6,入力!B75&gt;=100,入力!B75&lt;=184),入力!X75,NA())</f>
        <v>#N/A</v>
      </c>
      <c r="AL75" s="82" t="e">
        <f t="shared" si="69"/>
        <v>#N/A</v>
      </c>
      <c r="AM75" s="82"/>
      <c r="AN75" s="80" t="e">
        <f t="shared" si="70"/>
        <v>#N/A</v>
      </c>
      <c r="AO75" s="80" t="e">
        <f t="shared" si="71"/>
        <v>#N/A</v>
      </c>
      <c r="AP75" s="81" t="e">
        <f t="shared" si="72"/>
        <v>#N/A</v>
      </c>
      <c r="AQ75" s="81" t="e">
        <f t="shared" si="73"/>
        <v>#VALUE!</v>
      </c>
      <c r="AR75" s="81" t="e">
        <f t="shared" si="74"/>
        <v>#N/A</v>
      </c>
      <c r="AS75" s="81" t="e">
        <f t="shared" si="75"/>
        <v>#N/A</v>
      </c>
      <c r="AT75" s="81" t="e">
        <f t="shared" si="76"/>
        <v>#N/A</v>
      </c>
      <c r="AU75" s="81" t="e">
        <f t="shared" si="77"/>
        <v>#N/A</v>
      </c>
      <c r="AV75" s="81" t="e">
        <f t="shared" si="78"/>
        <v>#N/A</v>
      </c>
      <c r="AW75" s="81" t="e">
        <f t="shared" si="79"/>
        <v>#N/A</v>
      </c>
      <c r="AX75" s="81" t="e">
        <f t="shared" si="80"/>
        <v>#N/A</v>
      </c>
      <c r="AY75" s="81" t="e">
        <f>VLOOKUP($W75,頭囲データ!$R$10:$W$11,3,TRUE)*$W75^3+VLOOKUP($W75,頭囲データ!$R$10:$W$11,4,TRUE)*$W75^2+VLOOKUP($W75,頭囲データ!$R$10:$W$11,5,TRUE)*$W75+VLOOKUP($W75,頭囲データ!$R$10:$W$11,6,TRUE)</f>
        <v>#N/A</v>
      </c>
      <c r="AZ75" s="81" t="e">
        <f>VLOOKUP($W75,頭囲データ!$R$12:$W$16,3,TRUE)*$W75^3+VLOOKUP($W75,頭囲データ!$R$12:$W$16,4,TRUE)*$W75^2+VLOOKUP($W75,頭囲データ!$R$12:$W$16,5,TRUE)*$W75+VLOOKUP($W75,頭囲データ!$R$12:$W$16,6,TRUE)</f>
        <v>#N/A</v>
      </c>
      <c r="BA75" s="81" t="e">
        <f>VLOOKUP($W75,頭囲データ!$R$17:$W$18,3,TRUE)*$W75^3+VLOOKUP($W75,頭囲データ!$R$17:$W$18,4,TRUE)*$W75^2+VLOOKUP($W75,頭囲データ!$R$17:$W$18,5,TRUE)*$W75+VLOOKUP($W75,頭囲データ!$R$17:$W$18,6,TRUE)</f>
        <v>#N/A</v>
      </c>
      <c r="BB75" s="81" t="e">
        <f t="shared" si="81"/>
        <v>#N/A</v>
      </c>
      <c r="BC75" s="81" t="e">
        <f>VLOOKUP($W75,胸囲データ!$R$10:$W$11,3,TRUE)*$W75^3+VLOOKUP($W75,胸囲データ!$R$10:$W$11,4,TRUE)*$W75^2+VLOOKUP($W75,胸囲データ!$R$10:$W$11,5,TRUE)*$W75+VLOOKUP($W75,胸囲データ!$R$10:$W$11,6,TRUE)</f>
        <v>#N/A</v>
      </c>
      <c r="BD75" s="81" t="e">
        <f>VLOOKUP($W75,胸囲データ!$R$12:$W$16,3,TRUE)*$W75^3+VLOOKUP($W75,胸囲データ!$R$12:$W$16,4,TRUE)*$W75^2+VLOOKUP($W75,胸囲データ!$R$12:$W$16,5,TRUE)*$W75+VLOOKUP($W75,胸囲データ!$R$12:$W$16,6,TRUE)</f>
        <v>#N/A</v>
      </c>
      <c r="BE75" s="81" t="e">
        <f>VLOOKUP($W75,胸囲データ!$R$17:$W$18,3,TRUE)*$W75^3+VLOOKUP($W75,胸囲データ!$R$17:$W$18,4,TRUE)*$W75^2+VLOOKUP($W75,胸囲データ!$R$17:$W$18,5,TRUE)*$W75+VLOOKUP($W75,胸囲データ!$R$17:$W$18,6,TRUE)</f>
        <v>#N/A</v>
      </c>
    </row>
    <row r="76" spans="1:57" x14ac:dyDescent="0.15">
      <c r="A76" s="35"/>
      <c r="B76" s="36"/>
      <c r="C76" s="36"/>
      <c r="D76" s="49"/>
      <c r="E76" s="76"/>
      <c r="F76" s="51" t="str">
        <f t="shared" si="86"/>
        <v/>
      </c>
      <c r="G76" s="37" t="str">
        <f t="shared" si="82"/>
        <v/>
      </c>
      <c r="H76" s="38" t="str">
        <f>IF(ISERROR(W76),"",VLOOKUP(W76,成長曲線_データ!$D$4:$AC$214,3,TRUE))</f>
        <v/>
      </c>
      <c r="I76" s="39" t="str">
        <f t="shared" si="58"/>
        <v/>
      </c>
      <c r="J76" s="39" t="str">
        <f t="shared" si="59"/>
        <v/>
      </c>
      <c r="K76" s="39" t="str">
        <f t="shared" si="60"/>
        <v/>
      </c>
      <c r="L76" s="39" t="str">
        <f t="shared" si="32"/>
        <v/>
      </c>
      <c r="M76" s="39" t="str">
        <f t="shared" si="83"/>
        <v/>
      </c>
      <c r="N76" s="39" t="str">
        <f t="shared" si="84"/>
        <v/>
      </c>
      <c r="O76" s="40" t="str">
        <f t="shared" si="61"/>
        <v/>
      </c>
      <c r="P76" s="40" t="str">
        <f t="shared" si="62"/>
        <v/>
      </c>
      <c r="Q76" s="39" t="str">
        <f t="shared" si="63"/>
        <v/>
      </c>
      <c r="R76" s="39" t="str">
        <f t="shared" si="64"/>
        <v/>
      </c>
      <c r="S76" s="39" t="str">
        <f t="shared" si="85"/>
        <v/>
      </c>
      <c r="T76" s="41" t="str">
        <f t="shared" si="65"/>
        <v/>
      </c>
      <c r="V76" s="90"/>
      <c r="W76" s="79" t="e">
        <f t="shared" si="66"/>
        <v>#N/A</v>
      </c>
      <c r="X76" s="79" t="e">
        <f t="shared" si="67"/>
        <v>#N/A</v>
      </c>
      <c r="Y76" s="80" t="e">
        <f>IF(W76="","",VLOOKUP(W76,成長曲線_データ!$D$4:$AC$214,4,TRUE))</f>
        <v>#N/A</v>
      </c>
      <c r="Z76" s="80" t="e">
        <f>IF(W76="","",VLOOKUP(W76,成長曲線_データ!$D$4:$AC$214,12,TRUE))</f>
        <v>#N/A</v>
      </c>
      <c r="AA76" s="81" t="e">
        <f>IF(W76="","",VLOOKUP(W76,成長曲線_データ!$D$4:$AC$214,13,TRUE))</f>
        <v>#N/A</v>
      </c>
      <c r="AB76" s="94" t="e">
        <f t="shared" si="68"/>
        <v>#N/A</v>
      </c>
      <c r="AC76" s="82" t="e">
        <f>IF(W76&lt;0.5,NA(),VLOOKUP((W76+1/8),成長曲線_データ!$V$4:$AA$73,2,TRUE))</f>
        <v>#N/A</v>
      </c>
      <c r="AD76" s="82" t="e">
        <f>IF(W76&lt;1,NA(),VLOOKUP(W76,成長曲線_データ!$V$4:$AA$73,3,TRUE))</f>
        <v>#N/A</v>
      </c>
      <c r="AE76" s="82" t="e">
        <f>IF(W76&lt;=6.5,VLOOKUP(W76,頭囲データ!$C$10:$E$85,2,TRUE),NA())</f>
        <v>#N/A</v>
      </c>
      <c r="AF76" s="82" t="e">
        <f>IF(W76&lt;=6.5,VLOOKUP(W76,頭囲データ!$C$10:$E$85,3,TRUE),NA())</f>
        <v>#N/A</v>
      </c>
      <c r="AG76" s="89" t="str">
        <f>入力!F76&amp;"y"&amp;入力!G76&amp;"m"</f>
        <v>ym</v>
      </c>
      <c r="AH76" s="89" t="e">
        <f>IF(AND(入力!W76&gt;=1,入力!W76&lt;6,入力!B76&gt;=70,入力!B76&lt;=120),入力!B76,NA())</f>
        <v>#N/A</v>
      </c>
      <c r="AI76" s="89" t="e">
        <f>IF(AND(入力!W76&gt;=1,入力!W76&lt;6,入力!B76&gt;=70,入力!B76&lt;=120),入力!X76,NA())</f>
        <v>#N/A</v>
      </c>
      <c r="AJ76" s="89" t="e">
        <f>IF(AND(入力!W76&gt;=6,入力!B76&gt;=100,入力!B76&lt;=184),入力!B76,NA())</f>
        <v>#N/A</v>
      </c>
      <c r="AK76" s="89" t="e">
        <f>IF(AND(入力!W76&gt;=6,入力!B76&gt;=100,入力!B76&lt;=184),入力!X76,NA())</f>
        <v>#N/A</v>
      </c>
      <c r="AL76" s="82" t="e">
        <f t="shared" si="69"/>
        <v>#N/A</v>
      </c>
      <c r="AM76" s="82"/>
      <c r="AN76" s="80" t="e">
        <f t="shared" si="70"/>
        <v>#N/A</v>
      </c>
      <c r="AO76" s="80" t="e">
        <f t="shared" si="71"/>
        <v>#N/A</v>
      </c>
      <c r="AP76" s="81" t="e">
        <f t="shared" si="72"/>
        <v>#N/A</v>
      </c>
      <c r="AQ76" s="81" t="e">
        <f t="shared" si="73"/>
        <v>#VALUE!</v>
      </c>
      <c r="AR76" s="81" t="e">
        <f t="shared" si="74"/>
        <v>#N/A</v>
      </c>
      <c r="AS76" s="81" t="e">
        <f t="shared" si="75"/>
        <v>#N/A</v>
      </c>
      <c r="AT76" s="81" t="e">
        <f t="shared" si="76"/>
        <v>#N/A</v>
      </c>
      <c r="AU76" s="81" t="e">
        <f t="shared" si="77"/>
        <v>#N/A</v>
      </c>
      <c r="AV76" s="81" t="e">
        <f t="shared" si="78"/>
        <v>#N/A</v>
      </c>
      <c r="AW76" s="81" t="e">
        <f t="shared" si="79"/>
        <v>#N/A</v>
      </c>
      <c r="AX76" s="81" t="e">
        <f t="shared" si="80"/>
        <v>#N/A</v>
      </c>
      <c r="AY76" s="81" t="e">
        <f>VLOOKUP($W76,頭囲データ!$R$10:$W$11,3,TRUE)*$W76^3+VLOOKUP($W76,頭囲データ!$R$10:$W$11,4,TRUE)*$W76^2+VLOOKUP($W76,頭囲データ!$R$10:$W$11,5,TRUE)*$W76+VLOOKUP($W76,頭囲データ!$R$10:$W$11,6,TRUE)</f>
        <v>#N/A</v>
      </c>
      <c r="AZ76" s="81" t="e">
        <f>VLOOKUP($W76,頭囲データ!$R$12:$W$16,3,TRUE)*$W76^3+VLOOKUP($W76,頭囲データ!$R$12:$W$16,4,TRUE)*$W76^2+VLOOKUP($W76,頭囲データ!$R$12:$W$16,5,TRUE)*$W76+VLOOKUP($W76,頭囲データ!$R$12:$W$16,6,TRUE)</f>
        <v>#N/A</v>
      </c>
      <c r="BA76" s="81" t="e">
        <f>VLOOKUP($W76,頭囲データ!$R$17:$W$18,3,TRUE)*$W76^3+VLOOKUP($W76,頭囲データ!$R$17:$W$18,4,TRUE)*$W76^2+VLOOKUP($W76,頭囲データ!$R$17:$W$18,5,TRUE)*$W76+VLOOKUP($W76,頭囲データ!$R$17:$W$18,6,TRUE)</f>
        <v>#N/A</v>
      </c>
      <c r="BB76" s="81" t="e">
        <f t="shared" si="81"/>
        <v>#N/A</v>
      </c>
      <c r="BC76" s="81" t="e">
        <f>VLOOKUP($W76,胸囲データ!$R$10:$W$11,3,TRUE)*$W76^3+VLOOKUP($W76,胸囲データ!$R$10:$W$11,4,TRUE)*$W76^2+VLOOKUP($W76,胸囲データ!$R$10:$W$11,5,TRUE)*$W76+VLOOKUP($W76,胸囲データ!$R$10:$W$11,6,TRUE)</f>
        <v>#N/A</v>
      </c>
      <c r="BD76" s="81" t="e">
        <f>VLOOKUP($W76,胸囲データ!$R$12:$W$16,3,TRUE)*$W76^3+VLOOKUP($W76,胸囲データ!$R$12:$W$16,4,TRUE)*$W76^2+VLOOKUP($W76,胸囲データ!$R$12:$W$16,5,TRUE)*$W76+VLOOKUP($W76,胸囲データ!$R$12:$W$16,6,TRUE)</f>
        <v>#N/A</v>
      </c>
      <c r="BE76" s="81" t="e">
        <f>VLOOKUP($W76,胸囲データ!$R$17:$W$18,3,TRUE)*$W76^3+VLOOKUP($W76,胸囲データ!$R$17:$W$18,4,TRUE)*$W76^2+VLOOKUP($W76,胸囲データ!$R$17:$W$18,5,TRUE)*$W76+VLOOKUP($W76,胸囲データ!$R$17:$W$18,6,TRUE)</f>
        <v>#N/A</v>
      </c>
    </row>
    <row r="77" spans="1:57" x14ac:dyDescent="0.15">
      <c r="A77" s="35"/>
      <c r="B77" s="36"/>
      <c r="C77" s="36"/>
      <c r="D77" s="49"/>
      <c r="E77" s="76"/>
      <c r="F77" s="51" t="str">
        <f t="shared" si="86"/>
        <v/>
      </c>
      <c r="G77" s="37" t="str">
        <f t="shared" si="82"/>
        <v/>
      </c>
      <c r="H77" s="38" t="str">
        <f>IF(ISERROR(W77),"",VLOOKUP(W77,成長曲線_データ!$D$4:$AC$214,3,TRUE))</f>
        <v/>
      </c>
      <c r="I77" s="39" t="str">
        <f t="shared" si="58"/>
        <v/>
      </c>
      <c r="J77" s="39" t="str">
        <f t="shared" si="59"/>
        <v/>
      </c>
      <c r="K77" s="39" t="str">
        <f t="shared" si="60"/>
        <v/>
      </c>
      <c r="L77" s="39" t="str">
        <f t="shared" si="32"/>
        <v/>
      </c>
      <c r="M77" s="39" t="str">
        <f t="shared" si="83"/>
        <v/>
      </c>
      <c r="N77" s="39" t="str">
        <f t="shared" si="84"/>
        <v/>
      </c>
      <c r="O77" s="40" t="str">
        <f t="shared" si="61"/>
        <v/>
      </c>
      <c r="P77" s="40" t="str">
        <f t="shared" si="62"/>
        <v/>
      </c>
      <c r="Q77" s="39" t="str">
        <f t="shared" si="63"/>
        <v/>
      </c>
      <c r="R77" s="39" t="str">
        <f t="shared" si="64"/>
        <v/>
      </c>
      <c r="S77" s="39" t="str">
        <f t="shared" si="85"/>
        <v/>
      </c>
      <c r="T77" s="41" t="str">
        <f t="shared" si="65"/>
        <v/>
      </c>
      <c r="V77" s="90"/>
      <c r="W77" s="79" t="e">
        <f t="shared" si="66"/>
        <v>#N/A</v>
      </c>
      <c r="X77" s="79" t="e">
        <f t="shared" si="67"/>
        <v>#N/A</v>
      </c>
      <c r="Y77" s="80" t="e">
        <f>IF(W77="","",VLOOKUP(W77,成長曲線_データ!$D$4:$AC$214,4,TRUE))</f>
        <v>#N/A</v>
      </c>
      <c r="Z77" s="80" t="e">
        <f>IF(W77="","",VLOOKUP(W77,成長曲線_データ!$D$4:$AC$214,12,TRUE))</f>
        <v>#N/A</v>
      </c>
      <c r="AA77" s="81" t="e">
        <f>IF(W77="","",VLOOKUP(W77,成長曲線_データ!$D$4:$AC$214,13,TRUE))</f>
        <v>#N/A</v>
      </c>
      <c r="AB77" s="94" t="e">
        <f t="shared" si="68"/>
        <v>#N/A</v>
      </c>
      <c r="AC77" s="82" t="e">
        <f>IF(W77&lt;0.5,NA(),VLOOKUP((W77+1/8),成長曲線_データ!$V$4:$AA$73,2,TRUE))</f>
        <v>#N/A</v>
      </c>
      <c r="AD77" s="82" t="e">
        <f>IF(W77&lt;1,NA(),VLOOKUP(W77,成長曲線_データ!$V$4:$AA$73,3,TRUE))</f>
        <v>#N/A</v>
      </c>
      <c r="AE77" s="82" t="e">
        <f>IF(W77&lt;=6.5,VLOOKUP(W77,頭囲データ!$C$10:$E$85,2,TRUE),NA())</f>
        <v>#N/A</v>
      </c>
      <c r="AF77" s="82" t="e">
        <f>IF(W77&lt;=6.5,VLOOKUP(W77,頭囲データ!$C$10:$E$85,3,TRUE),NA())</f>
        <v>#N/A</v>
      </c>
      <c r="AG77" s="89" t="str">
        <f>入力!F77&amp;"y"&amp;入力!G77&amp;"m"</f>
        <v>ym</v>
      </c>
      <c r="AH77" s="89" t="e">
        <f>IF(AND(入力!W77&gt;=1,入力!W77&lt;6,入力!B77&gt;=70,入力!B77&lt;=120),入力!B77,NA())</f>
        <v>#N/A</v>
      </c>
      <c r="AI77" s="89" t="e">
        <f>IF(AND(入力!W77&gt;=1,入力!W77&lt;6,入力!B77&gt;=70,入力!B77&lt;=120),入力!X77,NA())</f>
        <v>#N/A</v>
      </c>
      <c r="AJ77" s="89" t="e">
        <f>IF(AND(入力!W77&gt;=6,入力!B77&gt;=100,入力!B77&lt;=184),入力!B77,NA())</f>
        <v>#N/A</v>
      </c>
      <c r="AK77" s="89" t="e">
        <f>IF(AND(入力!W77&gt;=6,入力!B77&gt;=100,入力!B77&lt;=184),入力!X77,NA())</f>
        <v>#N/A</v>
      </c>
      <c r="AL77" s="82" t="e">
        <f t="shared" si="69"/>
        <v>#N/A</v>
      </c>
      <c r="AM77" s="82"/>
      <c r="AN77" s="80" t="e">
        <f t="shared" si="70"/>
        <v>#N/A</v>
      </c>
      <c r="AO77" s="80" t="e">
        <f t="shared" si="71"/>
        <v>#N/A</v>
      </c>
      <c r="AP77" s="81" t="e">
        <f t="shared" si="72"/>
        <v>#N/A</v>
      </c>
      <c r="AQ77" s="81" t="e">
        <f t="shared" si="73"/>
        <v>#VALUE!</v>
      </c>
      <c r="AR77" s="81" t="e">
        <f t="shared" si="74"/>
        <v>#N/A</v>
      </c>
      <c r="AS77" s="81" t="e">
        <f t="shared" si="75"/>
        <v>#N/A</v>
      </c>
      <c r="AT77" s="81" t="e">
        <f t="shared" si="76"/>
        <v>#N/A</v>
      </c>
      <c r="AU77" s="81" t="e">
        <f t="shared" si="77"/>
        <v>#N/A</v>
      </c>
      <c r="AV77" s="81" t="e">
        <f t="shared" si="78"/>
        <v>#N/A</v>
      </c>
      <c r="AW77" s="81" t="e">
        <f t="shared" si="79"/>
        <v>#N/A</v>
      </c>
      <c r="AX77" s="81" t="e">
        <f t="shared" si="80"/>
        <v>#N/A</v>
      </c>
      <c r="AY77" s="81" t="e">
        <f>VLOOKUP($W77,頭囲データ!$R$10:$W$11,3,TRUE)*$W77^3+VLOOKUP($W77,頭囲データ!$R$10:$W$11,4,TRUE)*$W77^2+VLOOKUP($W77,頭囲データ!$R$10:$W$11,5,TRUE)*$W77+VLOOKUP($W77,頭囲データ!$R$10:$W$11,6,TRUE)</f>
        <v>#N/A</v>
      </c>
      <c r="AZ77" s="81" t="e">
        <f>VLOOKUP($W77,頭囲データ!$R$12:$W$16,3,TRUE)*$W77^3+VLOOKUP($W77,頭囲データ!$R$12:$W$16,4,TRUE)*$W77^2+VLOOKUP($W77,頭囲データ!$R$12:$W$16,5,TRUE)*$W77+VLOOKUP($W77,頭囲データ!$R$12:$W$16,6,TRUE)</f>
        <v>#N/A</v>
      </c>
      <c r="BA77" s="81" t="e">
        <f>VLOOKUP($W77,頭囲データ!$R$17:$W$18,3,TRUE)*$W77^3+VLOOKUP($W77,頭囲データ!$R$17:$W$18,4,TRUE)*$W77^2+VLOOKUP($W77,頭囲データ!$R$17:$W$18,5,TRUE)*$W77+VLOOKUP($W77,頭囲データ!$R$17:$W$18,6,TRUE)</f>
        <v>#N/A</v>
      </c>
      <c r="BB77" s="81" t="e">
        <f t="shared" si="81"/>
        <v>#N/A</v>
      </c>
      <c r="BC77" s="81" t="e">
        <f>VLOOKUP($W77,胸囲データ!$R$10:$W$11,3,TRUE)*$W77^3+VLOOKUP($W77,胸囲データ!$R$10:$W$11,4,TRUE)*$W77^2+VLOOKUP($W77,胸囲データ!$R$10:$W$11,5,TRUE)*$W77+VLOOKUP($W77,胸囲データ!$R$10:$W$11,6,TRUE)</f>
        <v>#N/A</v>
      </c>
      <c r="BD77" s="81" t="e">
        <f>VLOOKUP($W77,胸囲データ!$R$12:$W$16,3,TRUE)*$W77^3+VLOOKUP($W77,胸囲データ!$R$12:$W$16,4,TRUE)*$W77^2+VLOOKUP($W77,胸囲データ!$R$12:$W$16,5,TRUE)*$W77+VLOOKUP($W77,胸囲データ!$R$12:$W$16,6,TRUE)</f>
        <v>#N/A</v>
      </c>
      <c r="BE77" s="81" t="e">
        <f>VLOOKUP($W77,胸囲データ!$R$17:$W$18,3,TRUE)*$W77^3+VLOOKUP($W77,胸囲データ!$R$17:$W$18,4,TRUE)*$W77^2+VLOOKUP($W77,胸囲データ!$R$17:$W$18,5,TRUE)*$W77+VLOOKUP($W77,胸囲データ!$R$17:$W$18,6,TRUE)</f>
        <v>#N/A</v>
      </c>
    </row>
    <row r="78" spans="1:57" x14ac:dyDescent="0.15">
      <c r="A78" s="35"/>
      <c r="B78" s="36"/>
      <c r="C78" s="36"/>
      <c r="D78" s="49"/>
      <c r="E78" s="76"/>
      <c r="F78" s="51" t="str">
        <f t="shared" si="86"/>
        <v/>
      </c>
      <c r="G78" s="37" t="str">
        <f t="shared" si="82"/>
        <v/>
      </c>
      <c r="H78" s="38" t="str">
        <f>IF(ISERROR(W78),"",VLOOKUP(W78,成長曲線_データ!$D$4:$AC$214,3,TRUE))</f>
        <v/>
      </c>
      <c r="I78" s="39" t="str">
        <f t="shared" si="58"/>
        <v/>
      </c>
      <c r="J78" s="39" t="str">
        <f t="shared" si="59"/>
        <v/>
      </c>
      <c r="K78" s="39" t="str">
        <f t="shared" si="60"/>
        <v/>
      </c>
      <c r="L78" s="39" t="str">
        <f t="shared" si="32"/>
        <v/>
      </c>
      <c r="M78" s="39" t="str">
        <f t="shared" si="83"/>
        <v/>
      </c>
      <c r="N78" s="39" t="str">
        <f t="shared" si="84"/>
        <v/>
      </c>
      <c r="O78" s="40" t="str">
        <f t="shared" si="61"/>
        <v/>
      </c>
      <c r="P78" s="40" t="str">
        <f t="shared" si="62"/>
        <v/>
      </c>
      <c r="Q78" s="39" t="str">
        <f t="shared" si="63"/>
        <v/>
      </c>
      <c r="R78" s="39" t="str">
        <f t="shared" si="64"/>
        <v/>
      </c>
      <c r="S78" s="39" t="str">
        <f t="shared" si="85"/>
        <v/>
      </c>
      <c r="T78" s="41" t="str">
        <f t="shared" si="65"/>
        <v/>
      </c>
      <c r="V78" s="90"/>
      <c r="W78" s="79" t="e">
        <f t="shared" si="66"/>
        <v>#N/A</v>
      </c>
      <c r="X78" s="79" t="e">
        <f t="shared" si="67"/>
        <v>#N/A</v>
      </c>
      <c r="Y78" s="80" t="e">
        <f>IF(W78="","",VLOOKUP(W78,成長曲線_データ!$D$4:$AC$214,4,TRUE))</f>
        <v>#N/A</v>
      </c>
      <c r="Z78" s="80" t="e">
        <f>IF(W78="","",VLOOKUP(W78,成長曲線_データ!$D$4:$AC$214,12,TRUE))</f>
        <v>#N/A</v>
      </c>
      <c r="AA78" s="81" t="e">
        <f>IF(W78="","",VLOOKUP(W78,成長曲線_データ!$D$4:$AC$214,13,TRUE))</f>
        <v>#N/A</v>
      </c>
      <c r="AB78" s="94" t="e">
        <f t="shared" si="68"/>
        <v>#N/A</v>
      </c>
      <c r="AC78" s="82" t="e">
        <f>IF(W78&lt;0.5,NA(),VLOOKUP((W78+1/8),成長曲線_データ!$V$4:$AA$73,2,TRUE))</f>
        <v>#N/A</v>
      </c>
      <c r="AD78" s="82" t="e">
        <f>IF(W78&lt;1,NA(),VLOOKUP(W78,成長曲線_データ!$V$4:$AA$73,3,TRUE))</f>
        <v>#N/A</v>
      </c>
      <c r="AE78" s="82" t="e">
        <f>IF(W78&lt;=6.5,VLOOKUP(W78,頭囲データ!$C$10:$E$85,2,TRUE),NA())</f>
        <v>#N/A</v>
      </c>
      <c r="AF78" s="82" t="e">
        <f>IF(W78&lt;=6.5,VLOOKUP(W78,頭囲データ!$C$10:$E$85,3,TRUE),NA())</f>
        <v>#N/A</v>
      </c>
      <c r="AG78" s="89" t="str">
        <f>入力!F78&amp;"y"&amp;入力!G78&amp;"m"</f>
        <v>ym</v>
      </c>
      <c r="AH78" s="89" t="e">
        <f>IF(AND(入力!W78&gt;=1,入力!W78&lt;6,入力!B78&gt;=70,入力!B78&lt;=120),入力!B78,NA())</f>
        <v>#N/A</v>
      </c>
      <c r="AI78" s="89" t="e">
        <f>IF(AND(入力!W78&gt;=1,入力!W78&lt;6,入力!B78&gt;=70,入力!B78&lt;=120),入力!X78,NA())</f>
        <v>#N/A</v>
      </c>
      <c r="AJ78" s="89" t="e">
        <f>IF(AND(入力!W78&gt;=6,入力!B78&gt;=100,入力!B78&lt;=184),入力!B78,NA())</f>
        <v>#N/A</v>
      </c>
      <c r="AK78" s="89" t="e">
        <f>IF(AND(入力!W78&gt;=6,入力!B78&gt;=100,入力!B78&lt;=184),入力!X78,NA())</f>
        <v>#N/A</v>
      </c>
      <c r="AL78" s="82" t="e">
        <f t="shared" si="69"/>
        <v>#N/A</v>
      </c>
      <c r="AM78" s="82"/>
      <c r="AN78" s="80" t="e">
        <f t="shared" si="70"/>
        <v>#N/A</v>
      </c>
      <c r="AO78" s="80" t="e">
        <f t="shared" si="71"/>
        <v>#N/A</v>
      </c>
      <c r="AP78" s="81" t="e">
        <f t="shared" si="72"/>
        <v>#N/A</v>
      </c>
      <c r="AQ78" s="81" t="e">
        <f t="shared" si="73"/>
        <v>#VALUE!</v>
      </c>
      <c r="AR78" s="81" t="e">
        <f t="shared" si="74"/>
        <v>#N/A</v>
      </c>
      <c r="AS78" s="81" t="e">
        <f t="shared" si="75"/>
        <v>#N/A</v>
      </c>
      <c r="AT78" s="81" t="e">
        <f t="shared" si="76"/>
        <v>#N/A</v>
      </c>
      <c r="AU78" s="81" t="e">
        <f t="shared" si="77"/>
        <v>#N/A</v>
      </c>
      <c r="AV78" s="81" t="e">
        <f t="shared" si="78"/>
        <v>#N/A</v>
      </c>
      <c r="AW78" s="81" t="e">
        <f t="shared" si="79"/>
        <v>#N/A</v>
      </c>
      <c r="AX78" s="81" t="e">
        <f t="shared" si="80"/>
        <v>#N/A</v>
      </c>
      <c r="AY78" s="81" t="e">
        <f>VLOOKUP($W78,頭囲データ!$R$10:$W$11,3,TRUE)*$W78^3+VLOOKUP($W78,頭囲データ!$R$10:$W$11,4,TRUE)*$W78^2+VLOOKUP($W78,頭囲データ!$R$10:$W$11,5,TRUE)*$W78+VLOOKUP($W78,頭囲データ!$R$10:$W$11,6,TRUE)</f>
        <v>#N/A</v>
      </c>
      <c r="AZ78" s="81" t="e">
        <f>VLOOKUP($W78,頭囲データ!$R$12:$W$16,3,TRUE)*$W78^3+VLOOKUP($W78,頭囲データ!$R$12:$W$16,4,TRUE)*$W78^2+VLOOKUP($W78,頭囲データ!$R$12:$W$16,5,TRUE)*$W78+VLOOKUP($W78,頭囲データ!$R$12:$W$16,6,TRUE)</f>
        <v>#N/A</v>
      </c>
      <c r="BA78" s="81" t="e">
        <f>VLOOKUP($W78,頭囲データ!$R$17:$W$18,3,TRUE)*$W78^3+VLOOKUP($W78,頭囲データ!$R$17:$W$18,4,TRUE)*$W78^2+VLOOKUP($W78,頭囲データ!$R$17:$W$18,5,TRUE)*$W78+VLOOKUP($W78,頭囲データ!$R$17:$W$18,6,TRUE)</f>
        <v>#N/A</v>
      </c>
      <c r="BB78" s="81" t="e">
        <f t="shared" si="81"/>
        <v>#N/A</v>
      </c>
      <c r="BC78" s="81" t="e">
        <f>VLOOKUP($W78,胸囲データ!$R$10:$W$11,3,TRUE)*$W78^3+VLOOKUP($W78,胸囲データ!$R$10:$W$11,4,TRUE)*$W78^2+VLOOKUP($W78,胸囲データ!$R$10:$W$11,5,TRUE)*$W78+VLOOKUP($W78,胸囲データ!$R$10:$W$11,6,TRUE)</f>
        <v>#N/A</v>
      </c>
      <c r="BD78" s="81" t="e">
        <f>VLOOKUP($W78,胸囲データ!$R$12:$W$16,3,TRUE)*$W78^3+VLOOKUP($W78,胸囲データ!$R$12:$W$16,4,TRUE)*$W78^2+VLOOKUP($W78,胸囲データ!$R$12:$W$16,5,TRUE)*$W78+VLOOKUP($W78,胸囲データ!$R$12:$W$16,6,TRUE)</f>
        <v>#N/A</v>
      </c>
      <c r="BE78" s="81" t="e">
        <f>VLOOKUP($W78,胸囲データ!$R$17:$W$18,3,TRUE)*$W78^3+VLOOKUP($W78,胸囲データ!$R$17:$W$18,4,TRUE)*$W78^2+VLOOKUP($W78,胸囲データ!$R$17:$W$18,5,TRUE)*$W78+VLOOKUP($W78,胸囲データ!$R$17:$W$18,6,TRUE)</f>
        <v>#N/A</v>
      </c>
    </row>
    <row r="79" spans="1:57" x14ac:dyDescent="0.15">
      <c r="A79" s="35"/>
      <c r="B79" s="36"/>
      <c r="C79" s="36"/>
      <c r="D79" s="49"/>
      <c r="E79" s="76"/>
      <c r="F79" s="51" t="str">
        <f t="shared" si="86"/>
        <v/>
      </c>
      <c r="G79" s="37" t="str">
        <f t="shared" si="82"/>
        <v/>
      </c>
      <c r="H79" s="38" t="str">
        <f>IF(ISERROR(W79),"",VLOOKUP(W79,成長曲線_データ!$D$4:$AC$214,3,TRUE))</f>
        <v/>
      </c>
      <c r="I79" s="39" t="str">
        <f t="shared" si="58"/>
        <v/>
      </c>
      <c r="J79" s="39" t="str">
        <f t="shared" si="59"/>
        <v/>
      </c>
      <c r="K79" s="39" t="str">
        <f t="shared" si="60"/>
        <v/>
      </c>
      <c r="L79" s="39" t="str">
        <f t="shared" si="32"/>
        <v/>
      </c>
      <c r="M79" s="39" t="str">
        <f t="shared" si="83"/>
        <v/>
      </c>
      <c r="N79" s="39" t="str">
        <f t="shared" si="84"/>
        <v/>
      </c>
      <c r="O79" s="40" t="str">
        <f t="shared" si="61"/>
        <v/>
      </c>
      <c r="P79" s="40" t="str">
        <f t="shared" si="62"/>
        <v/>
      </c>
      <c r="Q79" s="39" t="str">
        <f t="shared" si="63"/>
        <v/>
      </c>
      <c r="R79" s="39" t="str">
        <f t="shared" si="64"/>
        <v/>
      </c>
      <c r="S79" s="39" t="str">
        <f t="shared" si="85"/>
        <v/>
      </c>
      <c r="T79" s="41" t="str">
        <f t="shared" si="65"/>
        <v/>
      </c>
      <c r="V79" s="90"/>
      <c r="W79" s="79" t="e">
        <f t="shared" si="66"/>
        <v>#N/A</v>
      </c>
      <c r="X79" s="79" t="e">
        <f t="shared" si="67"/>
        <v>#N/A</v>
      </c>
      <c r="Y79" s="80" t="e">
        <f>IF(W79="","",VLOOKUP(W79,成長曲線_データ!$D$4:$AC$214,4,TRUE))</f>
        <v>#N/A</v>
      </c>
      <c r="Z79" s="80" t="e">
        <f>IF(W79="","",VLOOKUP(W79,成長曲線_データ!$D$4:$AC$214,12,TRUE))</f>
        <v>#N/A</v>
      </c>
      <c r="AA79" s="81" t="e">
        <f>IF(W79="","",VLOOKUP(W79,成長曲線_データ!$D$4:$AC$214,13,TRUE))</f>
        <v>#N/A</v>
      </c>
      <c r="AB79" s="94" t="e">
        <f t="shared" si="68"/>
        <v>#N/A</v>
      </c>
      <c r="AC79" s="82" t="e">
        <f>IF(W79&lt;0.5,NA(),VLOOKUP((W79+1/8),成長曲線_データ!$V$4:$AA$73,2,TRUE))</f>
        <v>#N/A</v>
      </c>
      <c r="AD79" s="82" t="e">
        <f>IF(W79&lt;1,NA(),VLOOKUP(W79,成長曲線_データ!$V$4:$AA$73,3,TRUE))</f>
        <v>#N/A</v>
      </c>
      <c r="AE79" s="82" t="e">
        <f>IF(W79&lt;=6.5,VLOOKUP(W79,頭囲データ!$C$10:$E$85,2,TRUE),NA())</f>
        <v>#N/A</v>
      </c>
      <c r="AF79" s="82" t="e">
        <f>IF(W79&lt;=6.5,VLOOKUP(W79,頭囲データ!$C$10:$E$85,3,TRUE),NA())</f>
        <v>#N/A</v>
      </c>
      <c r="AG79" s="89" t="str">
        <f>入力!F79&amp;"y"&amp;入力!G79&amp;"m"</f>
        <v>ym</v>
      </c>
      <c r="AH79" s="89" t="e">
        <f>IF(AND(入力!W79&gt;=1,入力!W79&lt;6,入力!B79&gt;=70,入力!B79&lt;=120),入力!B79,NA())</f>
        <v>#N/A</v>
      </c>
      <c r="AI79" s="89" t="e">
        <f>IF(AND(入力!W79&gt;=1,入力!W79&lt;6,入力!B79&gt;=70,入力!B79&lt;=120),入力!X79,NA())</f>
        <v>#N/A</v>
      </c>
      <c r="AJ79" s="89" t="e">
        <f>IF(AND(入力!W79&gt;=6,入力!B79&gt;=100,入力!B79&lt;=184),入力!B79,NA())</f>
        <v>#N/A</v>
      </c>
      <c r="AK79" s="89" t="e">
        <f>IF(AND(入力!W79&gt;=6,入力!B79&gt;=100,入力!B79&lt;=184),入力!X79,NA())</f>
        <v>#N/A</v>
      </c>
      <c r="AL79" s="82" t="e">
        <f t="shared" si="69"/>
        <v>#N/A</v>
      </c>
      <c r="AM79" s="82"/>
      <c r="AN79" s="80" t="e">
        <f t="shared" si="70"/>
        <v>#N/A</v>
      </c>
      <c r="AO79" s="80" t="e">
        <f t="shared" si="71"/>
        <v>#N/A</v>
      </c>
      <c r="AP79" s="81" t="e">
        <f t="shared" si="72"/>
        <v>#N/A</v>
      </c>
      <c r="AQ79" s="81" t="e">
        <f t="shared" si="73"/>
        <v>#VALUE!</v>
      </c>
      <c r="AR79" s="81" t="e">
        <f t="shared" si="74"/>
        <v>#N/A</v>
      </c>
      <c r="AS79" s="81" t="e">
        <f t="shared" si="75"/>
        <v>#N/A</v>
      </c>
      <c r="AT79" s="81" t="e">
        <f t="shared" si="76"/>
        <v>#N/A</v>
      </c>
      <c r="AU79" s="81" t="e">
        <f t="shared" si="77"/>
        <v>#N/A</v>
      </c>
      <c r="AV79" s="81" t="e">
        <f t="shared" si="78"/>
        <v>#N/A</v>
      </c>
      <c r="AW79" s="81" t="e">
        <f t="shared" si="79"/>
        <v>#N/A</v>
      </c>
      <c r="AX79" s="81" t="e">
        <f t="shared" si="80"/>
        <v>#N/A</v>
      </c>
      <c r="AY79" s="81" t="e">
        <f>VLOOKUP($W79,頭囲データ!$R$10:$W$11,3,TRUE)*$W79^3+VLOOKUP($W79,頭囲データ!$R$10:$W$11,4,TRUE)*$W79^2+VLOOKUP($W79,頭囲データ!$R$10:$W$11,5,TRUE)*$W79+VLOOKUP($W79,頭囲データ!$R$10:$W$11,6,TRUE)</f>
        <v>#N/A</v>
      </c>
      <c r="AZ79" s="81" t="e">
        <f>VLOOKUP($W79,頭囲データ!$R$12:$W$16,3,TRUE)*$W79^3+VLOOKUP($W79,頭囲データ!$R$12:$W$16,4,TRUE)*$W79^2+VLOOKUP($W79,頭囲データ!$R$12:$W$16,5,TRUE)*$W79+VLOOKUP($W79,頭囲データ!$R$12:$W$16,6,TRUE)</f>
        <v>#N/A</v>
      </c>
      <c r="BA79" s="81" t="e">
        <f>VLOOKUP($W79,頭囲データ!$R$17:$W$18,3,TRUE)*$W79^3+VLOOKUP($W79,頭囲データ!$R$17:$W$18,4,TRUE)*$W79^2+VLOOKUP($W79,頭囲データ!$R$17:$W$18,5,TRUE)*$W79+VLOOKUP($W79,頭囲データ!$R$17:$W$18,6,TRUE)</f>
        <v>#N/A</v>
      </c>
      <c r="BB79" s="81" t="e">
        <f t="shared" si="81"/>
        <v>#N/A</v>
      </c>
      <c r="BC79" s="81" t="e">
        <f>VLOOKUP($W79,胸囲データ!$R$10:$W$11,3,TRUE)*$W79^3+VLOOKUP($W79,胸囲データ!$R$10:$W$11,4,TRUE)*$W79^2+VLOOKUP($W79,胸囲データ!$R$10:$W$11,5,TRUE)*$W79+VLOOKUP($W79,胸囲データ!$R$10:$W$11,6,TRUE)</f>
        <v>#N/A</v>
      </c>
      <c r="BD79" s="81" t="e">
        <f>VLOOKUP($W79,胸囲データ!$R$12:$W$16,3,TRUE)*$W79^3+VLOOKUP($W79,胸囲データ!$R$12:$W$16,4,TRUE)*$W79^2+VLOOKUP($W79,胸囲データ!$R$12:$W$16,5,TRUE)*$W79+VLOOKUP($W79,胸囲データ!$R$12:$W$16,6,TRUE)</f>
        <v>#N/A</v>
      </c>
      <c r="BE79" s="81" t="e">
        <f>VLOOKUP($W79,胸囲データ!$R$17:$W$18,3,TRUE)*$W79^3+VLOOKUP($W79,胸囲データ!$R$17:$W$18,4,TRUE)*$W79^2+VLOOKUP($W79,胸囲データ!$R$17:$W$18,5,TRUE)*$W79+VLOOKUP($W79,胸囲データ!$R$17:$W$18,6,TRUE)</f>
        <v>#N/A</v>
      </c>
    </row>
    <row r="80" spans="1:57" x14ac:dyDescent="0.15">
      <c r="A80" s="35"/>
      <c r="B80" s="36"/>
      <c r="C80" s="36"/>
      <c r="D80" s="49"/>
      <c r="E80" s="76"/>
      <c r="F80" s="51" t="str">
        <f t="shared" si="86"/>
        <v/>
      </c>
      <c r="G80" s="37" t="str">
        <f t="shared" si="82"/>
        <v/>
      </c>
      <c r="H80" s="38" t="str">
        <f>IF(ISERROR(W80),"",VLOOKUP(W80,成長曲線_データ!$D$4:$AC$214,3,TRUE))</f>
        <v/>
      </c>
      <c r="I80" s="39" t="str">
        <f t="shared" si="58"/>
        <v/>
      </c>
      <c r="J80" s="39" t="str">
        <f t="shared" si="59"/>
        <v/>
      </c>
      <c r="K80" s="39" t="str">
        <f t="shared" si="60"/>
        <v/>
      </c>
      <c r="L80" s="39" t="str">
        <f t="shared" si="32"/>
        <v/>
      </c>
      <c r="M80" s="39" t="str">
        <f t="shared" si="83"/>
        <v/>
      </c>
      <c r="N80" s="39" t="str">
        <f t="shared" si="84"/>
        <v/>
      </c>
      <c r="O80" s="40" t="str">
        <f t="shared" si="61"/>
        <v/>
      </c>
      <c r="P80" s="40" t="str">
        <f t="shared" si="62"/>
        <v/>
      </c>
      <c r="Q80" s="39" t="str">
        <f t="shared" si="63"/>
        <v/>
      </c>
      <c r="R80" s="39" t="str">
        <f t="shared" si="64"/>
        <v/>
      </c>
      <c r="S80" s="39" t="str">
        <f t="shared" si="85"/>
        <v/>
      </c>
      <c r="T80" s="41" t="str">
        <f t="shared" si="65"/>
        <v/>
      </c>
      <c r="V80" s="90"/>
      <c r="W80" s="79" t="e">
        <f t="shared" si="66"/>
        <v>#N/A</v>
      </c>
      <c r="X80" s="79" t="e">
        <f t="shared" si="67"/>
        <v>#N/A</v>
      </c>
      <c r="Y80" s="80" t="e">
        <f>IF(W80="","",VLOOKUP(W80,成長曲線_データ!$D$4:$AC$214,4,TRUE))</f>
        <v>#N/A</v>
      </c>
      <c r="Z80" s="80" t="e">
        <f>IF(W80="","",VLOOKUP(W80,成長曲線_データ!$D$4:$AC$214,12,TRUE))</f>
        <v>#N/A</v>
      </c>
      <c r="AA80" s="81" t="e">
        <f>IF(W80="","",VLOOKUP(W80,成長曲線_データ!$D$4:$AC$214,13,TRUE))</f>
        <v>#N/A</v>
      </c>
      <c r="AB80" s="94" t="e">
        <f t="shared" si="68"/>
        <v>#N/A</v>
      </c>
      <c r="AC80" s="82" t="e">
        <f>IF(W80&lt;0.5,NA(),VLOOKUP((W80+1/8),成長曲線_データ!$V$4:$AA$73,2,TRUE))</f>
        <v>#N/A</v>
      </c>
      <c r="AD80" s="82" t="e">
        <f>IF(W80&lt;1,NA(),VLOOKUP(W80,成長曲線_データ!$V$4:$AA$73,3,TRUE))</f>
        <v>#N/A</v>
      </c>
      <c r="AE80" s="82" t="e">
        <f>IF(W80&lt;=6.5,VLOOKUP(W80,頭囲データ!$C$10:$E$85,2,TRUE),NA())</f>
        <v>#N/A</v>
      </c>
      <c r="AF80" s="82" t="e">
        <f>IF(W80&lt;=6.5,VLOOKUP(W80,頭囲データ!$C$10:$E$85,3,TRUE),NA())</f>
        <v>#N/A</v>
      </c>
      <c r="AG80" s="89" t="str">
        <f>入力!F80&amp;"y"&amp;入力!G80&amp;"m"</f>
        <v>ym</v>
      </c>
      <c r="AH80" s="89" t="e">
        <f>IF(AND(入力!W80&gt;=1,入力!W80&lt;6,入力!B80&gt;=70,入力!B80&lt;=120),入力!B80,NA())</f>
        <v>#N/A</v>
      </c>
      <c r="AI80" s="89" t="e">
        <f>IF(AND(入力!W80&gt;=1,入力!W80&lt;6,入力!B80&gt;=70,入力!B80&lt;=120),入力!X80,NA())</f>
        <v>#N/A</v>
      </c>
      <c r="AJ80" s="89" t="e">
        <f>IF(AND(入力!W80&gt;=6,入力!B80&gt;=100,入力!B80&lt;=184),入力!B80,NA())</f>
        <v>#N/A</v>
      </c>
      <c r="AK80" s="89" t="e">
        <f>IF(AND(入力!W80&gt;=6,入力!B80&gt;=100,入力!B80&lt;=184),入力!X80,NA())</f>
        <v>#N/A</v>
      </c>
      <c r="AL80" s="82" t="e">
        <f t="shared" si="69"/>
        <v>#N/A</v>
      </c>
      <c r="AM80" s="82"/>
      <c r="AN80" s="80" t="e">
        <f t="shared" si="70"/>
        <v>#N/A</v>
      </c>
      <c r="AO80" s="80" t="e">
        <f t="shared" si="71"/>
        <v>#N/A</v>
      </c>
      <c r="AP80" s="81" t="e">
        <f t="shared" si="72"/>
        <v>#N/A</v>
      </c>
      <c r="AQ80" s="81" t="e">
        <f t="shared" si="73"/>
        <v>#VALUE!</v>
      </c>
      <c r="AR80" s="81" t="e">
        <f t="shared" si="74"/>
        <v>#N/A</v>
      </c>
      <c r="AS80" s="81" t="e">
        <f t="shared" si="75"/>
        <v>#N/A</v>
      </c>
      <c r="AT80" s="81" t="e">
        <f t="shared" si="76"/>
        <v>#N/A</v>
      </c>
      <c r="AU80" s="81" t="e">
        <f t="shared" si="77"/>
        <v>#N/A</v>
      </c>
      <c r="AV80" s="81" t="e">
        <f t="shared" si="78"/>
        <v>#N/A</v>
      </c>
      <c r="AW80" s="81" t="e">
        <f t="shared" si="79"/>
        <v>#N/A</v>
      </c>
      <c r="AX80" s="81" t="e">
        <f t="shared" si="80"/>
        <v>#N/A</v>
      </c>
      <c r="AY80" s="81" t="e">
        <f>VLOOKUP($W80,頭囲データ!$R$10:$W$11,3,TRUE)*$W80^3+VLOOKUP($W80,頭囲データ!$R$10:$W$11,4,TRUE)*$W80^2+VLOOKUP($W80,頭囲データ!$R$10:$W$11,5,TRUE)*$W80+VLOOKUP($W80,頭囲データ!$R$10:$W$11,6,TRUE)</f>
        <v>#N/A</v>
      </c>
      <c r="AZ80" s="81" t="e">
        <f>VLOOKUP($W80,頭囲データ!$R$12:$W$16,3,TRUE)*$W80^3+VLOOKUP($W80,頭囲データ!$R$12:$W$16,4,TRUE)*$W80^2+VLOOKUP($W80,頭囲データ!$R$12:$W$16,5,TRUE)*$W80+VLOOKUP($W80,頭囲データ!$R$12:$W$16,6,TRUE)</f>
        <v>#N/A</v>
      </c>
      <c r="BA80" s="81" t="e">
        <f>VLOOKUP($W80,頭囲データ!$R$17:$W$18,3,TRUE)*$W80^3+VLOOKUP($W80,頭囲データ!$R$17:$W$18,4,TRUE)*$W80^2+VLOOKUP($W80,頭囲データ!$R$17:$W$18,5,TRUE)*$W80+VLOOKUP($W80,頭囲データ!$R$17:$W$18,6,TRUE)</f>
        <v>#N/A</v>
      </c>
      <c r="BB80" s="81" t="e">
        <f t="shared" si="81"/>
        <v>#N/A</v>
      </c>
      <c r="BC80" s="81" t="e">
        <f>VLOOKUP($W80,胸囲データ!$R$10:$W$11,3,TRUE)*$W80^3+VLOOKUP($W80,胸囲データ!$R$10:$W$11,4,TRUE)*$W80^2+VLOOKUP($W80,胸囲データ!$R$10:$W$11,5,TRUE)*$W80+VLOOKUP($W80,胸囲データ!$R$10:$W$11,6,TRUE)</f>
        <v>#N/A</v>
      </c>
      <c r="BD80" s="81" t="e">
        <f>VLOOKUP($W80,胸囲データ!$R$12:$W$16,3,TRUE)*$W80^3+VLOOKUP($W80,胸囲データ!$R$12:$W$16,4,TRUE)*$W80^2+VLOOKUP($W80,胸囲データ!$R$12:$W$16,5,TRUE)*$W80+VLOOKUP($W80,胸囲データ!$R$12:$W$16,6,TRUE)</f>
        <v>#N/A</v>
      </c>
      <c r="BE80" s="81" t="e">
        <f>VLOOKUP($W80,胸囲データ!$R$17:$W$18,3,TRUE)*$W80^3+VLOOKUP($W80,胸囲データ!$R$17:$W$18,4,TRUE)*$W80^2+VLOOKUP($W80,胸囲データ!$R$17:$W$18,5,TRUE)*$W80+VLOOKUP($W80,胸囲データ!$R$17:$W$18,6,TRUE)</f>
        <v>#N/A</v>
      </c>
    </row>
    <row r="81" spans="1:57" x14ac:dyDescent="0.15">
      <c r="A81" s="35"/>
      <c r="B81" s="36"/>
      <c r="C81" s="36"/>
      <c r="D81" s="49"/>
      <c r="E81" s="76"/>
      <c r="F81" s="51" t="str">
        <f t="shared" si="86"/>
        <v/>
      </c>
      <c r="G81" s="37" t="str">
        <f t="shared" si="82"/>
        <v/>
      </c>
      <c r="H81" s="38" t="str">
        <f>IF(ISERROR(W81),"",VLOOKUP(W81,成長曲線_データ!$D$4:$AC$214,3,TRUE))</f>
        <v/>
      </c>
      <c r="I81" s="39" t="str">
        <f t="shared" si="58"/>
        <v/>
      </c>
      <c r="J81" s="39" t="str">
        <f t="shared" si="59"/>
        <v/>
      </c>
      <c r="K81" s="39" t="str">
        <f t="shared" si="60"/>
        <v/>
      </c>
      <c r="L81" s="39" t="str">
        <f t="shared" si="32"/>
        <v/>
      </c>
      <c r="M81" s="39" t="str">
        <f t="shared" si="83"/>
        <v/>
      </c>
      <c r="N81" s="39" t="str">
        <f t="shared" si="84"/>
        <v/>
      </c>
      <c r="O81" s="40" t="str">
        <f t="shared" si="61"/>
        <v/>
      </c>
      <c r="P81" s="40" t="str">
        <f t="shared" si="62"/>
        <v/>
      </c>
      <c r="Q81" s="39" t="str">
        <f t="shared" si="63"/>
        <v/>
      </c>
      <c r="R81" s="39" t="str">
        <f t="shared" si="64"/>
        <v/>
      </c>
      <c r="S81" s="39" t="str">
        <f t="shared" si="85"/>
        <v/>
      </c>
      <c r="T81" s="41" t="str">
        <f t="shared" si="65"/>
        <v/>
      </c>
      <c r="V81" s="90"/>
      <c r="W81" s="79" t="e">
        <f t="shared" si="66"/>
        <v>#N/A</v>
      </c>
      <c r="X81" s="79" t="e">
        <f t="shared" si="67"/>
        <v>#N/A</v>
      </c>
      <c r="Y81" s="80" t="e">
        <f>IF(W81="","",VLOOKUP(W81,成長曲線_データ!$D$4:$AC$214,4,TRUE))</f>
        <v>#N/A</v>
      </c>
      <c r="Z81" s="80" t="e">
        <f>IF(W81="","",VLOOKUP(W81,成長曲線_データ!$D$4:$AC$214,12,TRUE))</f>
        <v>#N/A</v>
      </c>
      <c r="AA81" s="81" t="e">
        <f>IF(W81="","",VLOOKUP(W81,成長曲線_データ!$D$4:$AC$214,13,TRUE))</f>
        <v>#N/A</v>
      </c>
      <c r="AB81" s="94" t="e">
        <f t="shared" si="68"/>
        <v>#N/A</v>
      </c>
      <c r="AC81" s="82" t="e">
        <f>IF(W81&lt;0.5,NA(),VLOOKUP((W81+1/8),成長曲線_データ!$V$4:$AA$73,2,TRUE))</f>
        <v>#N/A</v>
      </c>
      <c r="AD81" s="82" t="e">
        <f>IF(W81&lt;1,NA(),VLOOKUP(W81,成長曲線_データ!$V$4:$AA$73,3,TRUE))</f>
        <v>#N/A</v>
      </c>
      <c r="AE81" s="82" t="e">
        <f>IF(W81&lt;=6.5,VLOOKUP(W81,頭囲データ!$C$10:$E$85,2,TRUE),NA())</f>
        <v>#N/A</v>
      </c>
      <c r="AF81" s="82" t="e">
        <f>IF(W81&lt;=6.5,VLOOKUP(W81,頭囲データ!$C$10:$E$85,3,TRUE),NA())</f>
        <v>#N/A</v>
      </c>
      <c r="AG81" s="89" t="str">
        <f>入力!F81&amp;"y"&amp;入力!G81&amp;"m"</f>
        <v>ym</v>
      </c>
      <c r="AH81" s="89" t="e">
        <f>IF(AND(入力!W81&gt;=1,入力!W81&lt;6,入力!B81&gt;=70,入力!B81&lt;=120),入力!B81,NA())</f>
        <v>#N/A</v>
      </c>
      <c r="AI81" s="89" t="e">
        <f>IF(AND(入力!W81&gt;=1,入力!W81&lt;6,入力!B81&gt;=70,入力!B81&lt;=120),入力!X81,NA())</f>
        <v>#N/A</v>
      </c>
      <c r="AJ81" s="89" t="e">
        <f>IF(AND(入力!W81&gt;=6,入力!B81&gt;=100,入力!B81&lt;=184),入力!B81,NA())</f>
        <v>#N/A</v>
      </c>
      <c r="AK81" s="89" t="e">
        <f>IF(AND(入力!W81&gt;=6,入力!B81&gt;=100,入力!B81&lt;=184),入力!X81,NA())</f>
        <v>#N/A</v>
      </c>
      <c r="AL81" s="82" t="e">
        <f t="shared" si="69"/>
        <v>#N/A</v>
      </c>
      <c r="AM81" s="82"/>
      <c r="AN81" s="80" t="e">
        <f t="shared" si="70"/>
        <v>#N/A</v>
      </c>
      <c r="AO81" s="80" t="e">
        <f t="shared" si="71"/>
        <v>#N/A</v>
      </c>
      <c r="AP81" s="81" t="e">
        <f t="shared" si="72"/>
        <v>#N/A</v>
      </c>
      <c r="AQ81" s="81" t="e">
        <f t="shared" si="73"/>
        <v>#VALUE!</v>
      </c>
      <c r="AR81" s="81" t="e">
        <f t="shared" si="74"/>
        <v>#N/A</v>
      </c>
      <c r="AS81" s="81" t="e">
        <f t="shared" si="75"/>
        <v>#N/A</v>
      </c>
      <c r="AT81" s="81" t="e">
        <f t="shared" si="76"/>
        <v>#N/A</v>
      </c>
      <c r="AU81" s="81" t="e">
        <f t="shared" si="77"/>
        <v>#N/A</v>
      </c>
      <c r="AV81" s="81" t="e">
        <f t="shared" si="78"/>
        <v>#N/A</v>
      </c>
      <c r="AW81" s="81" t="e">
        <f t="shared" si="79"/>
        <v>#N/A</v>
      </c>
      <c r="AX81" s="81" t="e">
        <f t="shared" si="80"/>
        <v>#N/A</v>
      </c>
      <c r="AY81" s="81" t="e">
        <f>VLOOKUP($W81,頭囲データ!$R$10:$W$11,3,TRUE)*$W81^3+VLOOKUP($W81,頭囲データ!$R$10:$W$11,4,TRUE)*$W81^2+VLOOKUP($W81,頭囲データ!$R$10:$W$11,5,TRUE)*$W81+VLOOKUP($W81,頭囲データ!$R$10:$W$11,6,TRUE)</f>
        <v>#N/A</v>
      </c>
      <c r="AZ81" s="81" t="e">
        <f>VLOOKUP($W81,頭囲データ!$R$12:$W$16,3,TRUE)*$W81^3+VLOOKUP($W81,頭囲データ!$R$12:$W$16,4,TRUE)*$W81^2+VLOOKUP($W81,頭囲データ!$R$12:$W$16,5,TRUE)*$W81+VLOOKUP($W81,頭囲データ!$R$12:$W$16,6,TRUE)</f>
        <v>#N/A</v>
      </c>
      <c r="BA81" s="81" t="e">
        <f>VLOOKUP($W81,頭囲データ!$R$17:$W$18,3,TRUE)*$W81^3+VLOOKUP($W81,頭囲データ!$R$17:$W$18,4,TRUE)*$W81^2+VLOOKUP($W81,頭囲データ!$R$17:$W$18,5,TRUE)*$W81+VLOOKUP($W81,頭囲データ!$R$17:$W$18,6,TRUE)</f>
        <v>#N/A</v>
      </c>
      <c r="BB81" s="81" t="e">
        <f t="shared" si="81"/>
        <v>#N/A</v>
      </c>
      <c r="BC81" s="81" t="e">
        <f>VLOOKUP($W81,胸囲データ!$R$10:$W$11,3,TRUE)*$W81^3+VLOOKUP($W81,胸囲データ!$R$10:$W$11,4,TRUE)*$W81^2+VLOOKUP($W81,胸囲データ!$R$10:$W$11,5,TRUE)*$W81+VLOOKUP($W81,胸囲データ!$R$10:$W$11,6,TRUE)</f>
        <v>#N/A</v>
      </c>
      <c r="BD81" s="81" t="e">
        <f>VLOOKUP($W81,胸囲データ!$R$12:$W$16,3,TRUE)*$W81^3+VLOOKUP($W81,胸囲データ!$R$12:$W$16,4,TRUE)*$W81^2+VLOOKUP($W81,胸囲データ!$R$12:$W$16,5,TRUE)*$W81+VLOOKUP($W81,胸囲データ!$R$12:$W$16,6,TRUE)</f>
        <v>#N/A</v>
      </c>
      <c r="BE81" s="81" t="e">
        <f>VLOOKUP($W81,胸囲データ!$R$17:$W$18,3,TRUE)*$W81^3+VLOOKUP($W81,胸囲データ!$R$17:$W$18,4,TRUE)*$W81^2+VLOOKUP($W81,胸囲データ!$R$17:$W$18,5,TRUE)*$W81+VLOOKUP($W81,胸囲データ!$R$17:$W$18,6,TRUE)</f>
        <v>#N/A</v>
      </c>
    </row>
    <row r="82" spans="1:57" x14ac:dyDescent="0.15">
      <c r="A82" s="35"/>
      <c r="B82" s="36"/>
      <c r="C82" s="36"/>
      <c r="D82" s="49"/>
      <c r="E82" s="76"/>
      <c r="F82" s="51" t="str">
        <f t="shared" si="86"/>
        <v/>
      </c>
      <c r="G82" s="37" t="str">
        <f t="shared" si="82"/>
        <v/>
      </c>
      <c r="H82" s="38" t="str">
        <f>IF(ISERROR(W82),"",VLOOKUP(W82,成長曲線_データ!$D$4:$AC$214,3,TRUE))</f>
        <v/>
      </c>
      <c r="I82" s="39" t="str">
        <f t="shared" si="58"/>
        <v/>
      </c>
      <c r="J82" s="39" t="str">
        <f t="shared" si="59"/>
        <v/>
      </c>
      <c r="K82" s="39" t="str">
        <f t="shared" si="60"/>
        <v/>
      </c>
      <c r="L82" s="39" t="str">
        <f t="shared" si="32"/>
        <v/>
      </c>
      <c r="M82" s="39" t="str">
        <f t="shared" si="83"/>
        <v/>
      </c>
      <c r="N82" s="39" t="str">
        <f t="shared" si="84"/>
        <v/>
      </c>
      <c r="O82" s="40" t="str">
        <f t="shared" si="61"/>
        <v/>
      </c>
      <c r="P82" s="40" t="str">
        <f t="shared" si="62"/>
        <v/>
      </c>
      <c r="Q82" s="39" t="str">
        <f t="shared" si="63"/>
        <v/>
      </c>
      <c r="R82" s="39" t="str">
        <f t="shared" si="64"/>
        <v/>
      </c>
      <c r="S82" s="39" t="str">
        <f t="shared" si="85"/>
        <v/>
      </c>
      <c r="T82" s="41" t="str">
        <f t="shared" si="65"/>
        <v/>
      </c>
      <c r="V82" s="90"/>
      <c r="W82" s="79" t="e">
        <f t="shared" si="66"/>
        <v>#N/A</v>
      </c>
      <c r="X82" s="79" t="e">
        <f t="shared" si="67"/>
        <v>#N/A</v>
      </c>
      <c r="Y82" s="80" t="e">
        <f>IF(W82="","",VLOOKUP(W82,成長曲線_データ!$D$4:$AC$214,4,TRUE))</f>
        <v>#N/A</v>
      </c>
      <c r="Z82" s="80" t="e">
        <f>IF(W82="","",VLOOKUP(W82,成長曲線_データ!$D$4:$AC$214,12,TRUE))</f>
        <v>#N/A</v>
      </c>
      <c r="AA82" s="81" t="e">
        <f>IF(W82="","",VLOOKUP(W82,成長曲線_データ!$D$4:$AC$214,13,TRUE))</f>
        <v>#N/A</v>
      </c>
      <c r="AB82" s="94" t="e">
        <f t="shared" si="68"/>
        <v>#N/A</v>
      </c>
      <c r="AC82" s="82" t="e">
        <f>IF(W82&lt;0.5,NA(),VLOOKUP((W82+1/8),成長曲線_データ!$V$4:$AA$73,2,TRUE))</f>
        <v>#N/A</v>
      </c>
      <c r="AD82" s="82" t="e">
        <f>IF(W82&lt;1,NA(),VLOOKUP(W82,成長曲線_データ!$V$4:$AA$73,3,TRUE))</f>
        <v>#N/A</v>
      </c>
      <c r="AE82" s="82" t="e">
        <f>IF(W82&lt;=6.5,VLOOKUP(W82,頭囲データ!$C$10:$E$85,2,TRUE),NA())</f>
        <v>#N/A</v>
      </c>
      <c r="AF82" s="82" t="e">
        <f>IF(W82&lt;=6.5,VLOOKUP(W82,頭囲データ!$C$10:$E$85,3,TRUE),NA())</f>
        <v>#N/A</v>
      </c>
      <c r="AG82" s="89" t="str">
        <f>入力!F82&amp;"y"&amp;入力!G82&amp;"m"</f>
        <v>ym</v>
      </c>
      <c r="AH82" s="89" t="e">
        <f>IF(AND(入力!W82&gt;=1,入力!W82&lt;6,入力!B82&gt;=70,入力!B82&lt;=120),入力!B82,NA())</f>
        <v>#N/A</v>
      </c>
      <c r="AI82" s="89" t="e">
        <f>IF(AND(入力!W82&gt;=1,入力!W82&lt;6,入力!B82&gt;=70,入力!B82&lt;=120),入力!X82,NA())</f>
        <v>#N/A</v>
      </c>
      <c r="AJ82" s="89" t="e">
        <f>IF(AND(入力!W82&gt;=6,入力!B82&gt;=100,入力!B82&lt;=184),入力!B82,NA())</f>
        <v>#N/A</v>
      </c>
      <c r="AK82" s="89" t="e">
        <f>IF(AND(入力!W82&gt;=6,入力!B82&gt;=100,入力!B82&lt;=184),入力!X82,NA())</f>
        <v>#N/A</v>
      </c>
      <c r="AL82" s="82" t="e">
        <f t="shared" si="69"/>
        <v>#N/A</v>
      </c>
      <c r="AM82" s="82"/>
      <c r="AN82" s="80" t="e">
        <f t="shared" si="70"/>
        <v>#N/A</v>
      </c>
      <c r="AO82" s="80" t="e">
        <f t="shared" si="71"/>
        <v>#N/A</v>
      </c>
      <c r="AP82" s="81" t="e">
        <f t="shared" si="72"/>
        <v>#N/A</v>
      </c>
      <c r="AQ82" s="81" t="e">
        <f t="shared" si="73"/>
        <v>#VALUE!</v>
      </c>
      <c r="AR82" s="81" t="e">
        <f t="shared" si="74"/>
        <v>#N/A</v>
      </c>
      <c r="AS82" s="81" t="e">
        <f t="shared" si="75"/>
        <v>#N/A</v>
      </c>
      <c r="AT82" s="81" t="e">
        <f t="shared" si="76"/>
        <v>#N/A</v>
      </c>
      <c r="AU82" s="81" t="e">
        <f t="shared" si="77"/>
        <v>#N/A</v>
      </c>
      <c r="AV82" s="81" t="e">
        <f t="shared" si="78"/>
        <v>#N/A</v>
      </c>
      <c r="AW82" s="81" t="e">
        <f t="shared" si="79"/>
        <v>#N/A</v>
      </c>
      <c r="AX82" s="81" t="e">
        <f t="shared" si="80"/>
        <v>#N/A</v>
      </c>
      <c r="AY82" s="81" t="e">
        <f>VLOOKUP($W82,頭囲データ!$R$10:$W$11,3,TRUE)*$W82^3+VLOOKUP($W82,頭囲データ!$R$10:$W$11,4,TRUE)*$W82^2+VLOOKUP($W82,頭囲データ!$R$10:$W$11,5,TRUE)*$W82+VLOOKUP($W82,頭囲データ!$R$10:$W$11,6,TRUE)</f>
        <v>#N/A</v>
      </c>
      <c r="AZ82" s="81" t="e">
        <f>VLOOKUP($W82,頭囲データ!$R$12:$W$16,3,TRUE)*$W82^3+VLOOKUP($W82,頭囲データ!$R$12:$W$16,4,TRUE)*$W82^2+VLOOKUP($W82,頭囲データ!$R$12:$W$16,5,TRUE)*$W82+VLOOKUP($W82,頭囲データ!$R$12:$W$16,6,TRUE)</f>
        <v>#N/A</v>
      </c>
      <c r="BA82" s="81" t="e">
        <f>VLOOKUP($W82,頭囲データ!$R$17:$W$18,3,TRUE)*$W82^3+VLOOKUP($W82,頭囲データ!$R$17:$W$18,4,TRUE)*$W82^2+VLOOKUP($W82,頭囲データ!$R$17:$W$18,5,TRUE)*$W82+VLOOKUP($W82,頭囲データ!$R$17:$W$18,6,TRUE)</f>
        <v>#N/A</v>
      </c>
      <c r="BB82" s="81" t="e">
        <f t="shared" si="81"/>
        <v>#N/A</v>
      </c>
      <c r="BC82" s="81" t="e">
        <f>VLOOKUP($W82,胸囲データ!$R$10:$W$11,3,TRUE)*$W82^3+VLOOKUP($W82,胸囲データ!$R$10:$W$11,4,TRUE)*$W82^2+VLOOKUP($W82,胸囲データ!$R$10:$W$11,5,TRUE)*$W82+VLOOKUP($W82,胸囲データ!$R$10:$W$11,6,TRUE)</f>
        <v>#N/A</v>
      </c>
      <c r="BD82" s="81" t="e">
        <f>VLOOKUP($W82,胸囲データ!$R$12:$W$16,3,TRUE)*$W82^3+VLOOKUP($W82,胸囲データ!$R$12:$W$16,4,TRUE)*$W82^2+VLOOKUP($W82,胸囲データ!$R$12:$W$16,5,TRUE)*$W82+VLOOKUP($W82,胸囲データ!$R$12:$W$16,6,TRUE)</f>
        <v>#N/A</v>
      </c>
      <c r="BE82" s="81" t="e">
        <f>VLOOKUP($W82,胸囲データ!$R$17:$W$18,3,TRUE)*$W82^3+VLOOKUP($W82,胸囲データ!$R$17:$W$18,4,TRUE)*$W82^2+VLOOKUP($W82,胸囲データ!$R$17:$W$18,5,TRUE)*$W82+VLOOKUP($W82,胸囲データ!$R$17:$W$18,6,TRUE)</f>
        <v>#N/A</v>
      </c>
    </row>
    <row r="83" spans="1:57" x14ac:dyDescent="0.15">
      <c r="A83" s="35"/>
      <c r="B83" s="36"/>
      <c r="C83" s="36"/>
      <c r="D83" s="49"/>
      <c r="E83" s="76"/>
      <c r="F83" s="51" t="str">
        <f t="shared" si="86"/>
        <v/>
      </c>
      <c r="G83" s="37" t="str">
        <f t="shared" si="82"/>
        <v/>
      </c>
      <c r="H83" s="38" t="str">
        <f>IF(ISERROR(W83),"",VLOOKUP(W83,成長曲線_データ!$D$4:$AC$214,3,TRUE))</f>
        <v/>
      </c>
      <c r="I83" s="39" t="str">
        <f t="shared" si="58"/>
        <v/>
      </c>
      <c r="J83" s="39" t="str">
        <f t="shared" si="59"/>
        <v/>
      </c>
      <c r="K83" s="39" t="str">
        <f t="shared" si="60"/>
        <v/>
      </c>
      <c r="L83" s="39" t="str">
        <f t="shared" si="32"/>
        <v/>
      </c>
      <c r="M83" s="39" t="str">
        <f t="shared" si="83"/>
        <v/>
      </c>
      <c r="N83" s="39" t="str">
        <f t="shared" si="84"/>
        <v/>
      </c>
      <c r="O83" s="40" t="str">
        <f t="shared" si="61"/>
        <v/>
      </c>
      <c r="P83" s="40" t="str">
        <f t="shared" si="62"/>
        <v/>
      </c>
      <c r="Q83" s="39" t="str">
        <f t="shared" si="63"/>
        <v/>
      </c>
      <c r="R83" s="39" t="str">
        <f t="shared" si="64"/>
        <v/>
      </c>
      <c r="S83" s="39" t="str">
        <f t="shared" si="85"/>
        <v/>
      </c>
      <c r="T83" s="41" t="str">
        <f t="shared" si="65"/>
        <v/>
      </c>
      <c r="V83" s="90"/>
      <c r="W83" s="79" t="e">
        <f t="shared" si="66"/>
        <v>#N/A</v>
      </c>
      <c r="X83" s="79" t="e">
        <f t="shared" si="67"/>
        <v>#N/A</v>
      </c>
      <c r="Y83" s="80" t="e">
        <f>IF(W83="","",VLOOKUP(W83,成長曲線_データ!$D$4:$AC$214,4,TRUE))</f>
        <v>#N/A</v>
      </c>
      <c r="Z83" s="80" t="e">
        <f>IF(W83="","",VLOOKUP(W83,成長曲線_データ!$D$4:$AC$214,12,TRUE))</f>
        <v>#N/A</v>
      </c>
      <c r="AA83" s="81" t="e">
        <f>IF(W83="","",VLOOKUP(W83,成長曲線_データ!$D$4:$AC$214,13,TRUE))</f>
        <v>#N/A</v>
      </c>
      <c r="AB83" s="94" t="e">
        <f t="shared" si="68"/>
        <v>#N/A</v>
      </c>
      <c r="AC83" s="82" t="e">
        <f>IF(W83&lt;0.5,NA(),VLOOKUP((W83+1/8),成長曲線_データ!$V$4:$AA$73,2,TRUE))</f>
        <v>#N/A</v>
      </c>
      <c r="AD83" s="82" t="e">
        <f>IF(W83&lt;1,NA(),VLOOKUP(W83,成長曲線_データ!$V$4:$AA$73,3,TRUE))</f>
        <v>#N/A</v>
      </c>
      <c r="AE83" s="82" t="e">
        <f>IF(W83&lt;=6.5,VLOOKUP(W83,頭囲データ!$C$10:$E$85,2,TRUE),NA())</f>
        <v>#N/A</v>
      </c>
      <c r="AF83" s="82" t="e">
        <f>IF(W83&lt;=6.5,VLOOKUP(W83,頭囲データ!$C$10:$E$85,3,TRUE),NA())</f>
        <v>#N/A</v>
      </c>
      <c r="AG83" s="89" t="str">
        <f>入力!F83&amp;"y"&amp;入力!G83&amp;"m"</f>
        <v>ym</v>
      </c>
      <c r="AH83" s="89" t="e">
        <f>IF(AND(入力!W83&gt;=1,入力!W83&lt;6,入力!B83&gt;=70,入力!B83&lt;=120),入力!B83,NA())</f>
        <v>#N/A</v>
      </c>
      <c r="AI83" s="89" t="e">
        <f>IF(AND(入力!W83&gt;=1,入力!W83&lt;6,入力!B83&gt;=70,入力!B83&lt;=120),入力!X83,NA())</f>
        <v>#N/A</v>
      </c>
      <c r="AJ83" s="89" t="e">
        <f>IF(AND(入力!W83&gt;=6,入力!B83&gt;=100,入力!B83&lt;=184),入力!B83,NA())</f>
        <v>#N/A</v>
      </c>
      <c r="AK83" s="89" t="e">
        <f>IF(AND(入力!W83&gt;=6,入力!B83&gt;=100,入力!B83&lt;=184),入力!X83,NA())</f>
        <v>#N/A</v>
      </c>
      <c r="AL83" s="82" t="e">
        <f t="shared" si="69"/>
        <v>#N/A</v>
      </c>
      <c r="AM83" s="82"/>
      <c r="AN83" s="80" t="e">
        <f t="shared" si="70"/>
        <v>#N/A</v>
      </c>
      <c r="AO83" s="80" t="e">
        <f t="shared" si="71"/>
        <v>#N/A</v>
      </c>
      <c r="AP83" s="81" t="e">
        <f t="shared" si="72"/>
        <v>#N/A</v>
      </c>
      <c r="AQ83" s="81" t="e">
        <f t="shared" si="73"/>
        <v>#VALUE!</v>
      </c>
      <c r="AR83" s="81" t="e">
        <f t="shared" si="74"/>
        <v>#N/A</v>
      </c>
      <c r="AS83" s="81" t="e">
        <f t="shared" si="75"/>
        <v>#N/A</v>
      </c>
      <c r="AT83" s="81" t="e">
        <f t="shared" si="76"/>
        <v>#N/A</v>
      </c>
      <c r="AU83" s="81" t="e">
        <f t="shared" si="77"/>
        <v>#N/A</v>
      </c>
      <c r="AV83" s="81" t="e">
        <f t="shared" si="78"/>
        <v>#N/A</v>
      </c>
      <c r="AW83" s="81" t="e">
        <f t="shared" si="79"/>
        <v>#N/A</v>
      </c>
      <c r="AX83" s="81" t="e">
        <f t="shared" si="80"/>
        <v>#N/A</v>
      </c>
      <c r="AY83" s="81" t="e">
        <f>VLOOKUP($W83,頭囲データ!$R$10:$W$11,3,TRUE)*$W83^3+VLOOKUP($W83,頭囲データ!$R$10:$W$11,4,TRUE)*$W83^2+VLOOKUP($W83,頭囲データ!$R$10:$W$11,5,TRUE)*$W83+VLOOKUP($W83,頭囲データ!$R$10:$W$11,6,TRUE)</f>
        <v>#N/A</v>
      </c>
      <c r="AZ83" s="81" t="e">
        <f>VLOOKUP($W83,頭囲データ!$R$12:$W$16,3,TRUE)*$W83^3+VLOOKUP($W83,頭囲データ!$R$12:$W$16,4,TRUE)*$W83^2+VLOOKUP($W83,頭囲データ!$R$12:$W$16,5,TRUE)*$W83+VLOOKUP($W83,頭囲データ!$R$12:$W$16,6,TRUE)</f>
        <v>#N/A</v>
      </c>
      <c r="BA83" s="81" t="e">
        <f>VLOOKUP($W83,頭囲データ!$R$17:$W$18,3,TRUE)*$W83^3+VLOOKUP($W83,頭囲データ!$R$17:$W$18,4,TRUE)*$W83^2+VLOOKUP($W83,頭囲データ!$R$17:$W$18,5,TRUE)*$W83+VLOOKUP($W83,頭囲データ!$R$17:$W$18,6,TRUE)</f>
        <v>#N/A</v>
      </c>
      <c r="BB83" s="81" t="e">
        <f t="shared" si="81"/>
        <v>#N/A</v>
      </c>
      <c r="BC83" s="81" t="e">
        <f>VLOOKUP($W83,胸囲データ!$R$10:$W$11,3,TRUE)*$W83^3+VLOOKUP($W83,胸囲データ!$R$10:$W$11,4,TRUE)*$W83^2+VLOOKUP($W83,胸囲データ!$R$10:$W$11,5,TRUE)*$W83+VLOOKUP($W83,胸囲データ!$R$10:$W$11,6,TRUE)</f>
        <v>#N/A</v>
      </c>
      <c r="BD83" s="81" t="e">
        <f>VLOOKUP($W83,胸囲データ!$R$12:$W$16,3,TRUE)*$W83^3+VLOOKUP($W83,胸囲データ!$R$12:$W$16,4,TRUE)*$W83^2+VLOOKUP($W83,胸囲データ!$R$12:$W$16,5,TRUE)*$W83+VLOOKUP($W83,胸囲データ!$R$12:$W$16,6,TRUE)</f>
        <v>#N/A</v>
      </c>
      <c r="BE83" s="81" t="e">
        <f>VLOOKUP($W83,胸囲データ!$R$17:$W$18,3,TRUE)*$W83^3+VLOOKUP($W83,胸囲データ!$R$17:$W$18,4,TRUE)*$W83^2+VLOOKUP($W83,胸囲データ!$R$17:$W$18,5,TRUE)*$W83+VLOOKUP($W83,胸囲データ!$R$17:$W$18,6,TRUE)</f>
        <v>#N/A</v>
      </c>
    </row>
    <row r="84" spans="1:57" x14ac:dyDescent="0.15">
      <c r="A84" s="35"/>
      <c r="B84" s="36"/>
      <c r="C84" s="36"/>
      <c r="D84" s="49"/>
      <c r="E84" s="76"/>
      <c r="F84" s="51" t="str">
        <f t="shared" si="86"/>
        <v/>
      </c>
      <c r="G84" s="37" t="str">
        <f t="shared" si="82"/>
        <v/>
      </c>
      <c r="H84" s="38" t="str">
        <f>IF(ISERROR(W84),"",VLOOKUP(W84,成長曲線_データ!$D$4:$AC$214,3,TRUE))</f>
        <v/>
      </c>
      <c r="I84" s="39" t="str">
        <f t="shared" si="58"/>
        <v/>
      </c>
      <c r="J84" s="39" t="str">
        <f t="shared" si="59"/>
        <v/>
      </c>
      <c r="K84" s="39" t="str">
        <f t="shared" si="60"/>
        <v/>
      </c>
      <c r="L84" s="39" t="str">
        <f t="shared" si="32"/>
        <v/>
      </c>
      <c r="M84" s="39" t="str">
        <f t="shared" si="83"/>
        <v/>
      </c>
      <c r="N84" s="39" t="str">
        <f t="shared" si="84"/>
        <v/>
      </c>
      <c r="O84" s="40" t="str">
        <f t="shared" si="61"/>
        <v/>
      </c>
      <c r="P84" s="40" t="str">
        <f t="shared" si="62"/>
        <v/>
      </c>
      <c r="Q84" s="39" t="str">
        <f t="shared" si="63"/>
        <v/>
      </c>
      <c r="R84" s="39" t="str">
        <f t="shared" si="64"/>
        <v/>
      </c>
      <c r="S84" s="39" t="str">
        <f t="shared" si="85"/>
        <v/>
      </c>
      <c r="T84" s="41" t="str">
        <f t="shared" si="65"/>
        <v/>
      </c>
      <c r="V84" s="90"/>
      <c r="W84" s="79" t="e">
        <f t="shared" si="66"/>
        <v>#N/A</v>
      </c>
      <c r="X84" s="79" t="e">
        <f t="shared" si="67"/>
        <v>#N/A</v>
      </c>
      <c r="Y84" s="80" t="e">
        <f>IF(W84="","",VLOOKUP(W84,成長曲線_データ!$D$4:$AC$214,4,TRUE))</f>
        <v>#N/A</v>
      </c>
      <c r="Z84" s="80" t="e">
        <f>IF(W84="","",VLOOKUP(W84,成長曲線_データ!$D$4:$AC$214,12,TRUE))</f>
        <v>#N/A</v>
      </c>
      <c r="AA84" s="81" t="e">
        <f>IF(W84="","",VLOOKUP(W84,成長曲線_データ!$D$4:$AC$214,13,TRUE))</f>
        <v>#N/A</v>
      </c>
      <c r="AB84" s="94" t="e">
        <f t="shared" si="68"/>
        <v>#N/A</v>
      </c>
      <c r="AC84" s="82" t="e">
        <f>IF(W84&lt;0.5,NA(),VLOOKUP((W84+1/8),成長曲線_データ!$V$4:$AA$73,2,TRUE))</f>
        <v>#N/A</v>
      </c>
      <c r="AD84" s="82" t="e">
        <f>IF(W84&lt;1,NA(),VLOOKUP(W84,成長曲線_データ!$V$4:$AA$73,3,TRUE))</f>
        <v>#N/A</v>
      </c>
      <c r="AE84" s="82" t="e">
        <f>IF(W84&lt;=6.5,VLOOKUP(W84,頭囲データ!$C$10:$E$85,2,TRUE),NA())</f>
        <v>#N/A</v>
      </c>
      <c r="AF84" s="82" t="e">
        <f>IF(W84&lt;=6.5,VLOOKUP(W84,頭囲データ!$C$10:$E$85,3,TRUE),NA())</f>
        <v>#N/A</v>
      </c>
      <c r="AG84" s="89" t="str">
        <f>入力!F84&amp;"y"&amp;入力!G84&amp;"m"</f>
        <v>ym</v>
      </c>
      <c r="AH84" s="89" t="e">
        <f>IF(AND(入力!W84&gt;=1,入力!W84&lt;6,入力!B84&gt;=70,入力!B84&lt;=120),入力!B84,NA())</f>
        <v>#N/A</v>
      </c>
      <c r="AI84" s="89" t="e">
        <f>IF(AND(入力!W84&gt;=1,入力!W84&lt;6,入力!B84&gt;=70,入力!B84&lt;=120),入力!X84,NA())</f>
        <v>#N/A</v>
      </c>
      <c r="AJ84" s="89" t="e">
        <f>IF(AND(入力!W84&gt;=6,入力!B84&gt;=100,入力!B84&lt;=184),入力!B84,NA())</f>
        <v>#N/A</v>
      </c>
      <c r="AK84" s="89" t="e">
        <f>IF(AND(入力!W84&gt;=6,入力!B84&gt;=100,入力!B84&lt;=184),入力!X84,NA())</f>
        <v>#N/A</v>
      </c>
      <c r="AL84" s="82" t="e">
        <f t="shared" si="69"/>
        <v>#N/A</v>
      </c>
      <c r="AM84" s="82"/>
      <c r="AN84" s="80" t="e">
        <f t="shared" si="70"/>
        <v>#N/A</v>
      </c>
      <c r="AO84" s="80" t="e">
        <f t="shared" si="71"/>
        <v>#N/A</v>
      </c>
      <c r="AP84" s="81" t="e">
        <f t="shared" si="72"/>
        <v>#N/A</v>
      </c>
      <c r="AQ84" s="81" t="e">
        <f t="shared" si="73"/>
        <v>#VALUE!</v>
      </c>
      <c r="AR84" s="81" t="e">
        <f t="shared" si="74"/>
        <v>#N/A</v>
      </c>
      <c r="AS84" s="81" t="e">
        <f t="shared" si="75"/>
        <v>#N/A</v>
      </c>
      <c r="AT84" s="81" t="e">
        <f t="shared" si="76"/>
        <v>#N/A</v>
      </c>
      <c r="AU84" s="81" t="e">
        <f t="shared" si="77"/>
        <v>#N/A</v>
      </c>
      <c r="AV84" s="81" t="e">
        <f t="shared" si="78"/>
        <v>#N/A</v>
      </c>
      <c r="AW84" s="81" t="e">
        <f t="shared" si="79"/>
        <v>#N/A</v>
      </c>
      <c r="AX84" s="81" t="e">
        <f t="shared" si="80"/>
        <v>#N/A</v>
      </c>
      <c r="AY84" s="81" t="e">
        <f>VLOOKUP($W84,頭囲データ!$R$10:$W$11,3,TRUE)*$W84^3+VLOOKUP($W84,頭囲データ!$R$10:$W$11,4,TRUE)*$W84^2+VLOOKUP($W84,頭囲データ!$R$10:$W$11,5,TRUE)*$W84+VLOOKUP($W84,頭囲データ!$R$10:$W$11,6,TRUE)</f>
        <v>#N/A</v>
      </c>
      <c r="AZ84" s="81" t="e">
        <f>VLOOKUP($W84,頭囲データ!$R$12:$W$16,3,TRUE)*$W84^3+VLOOKUP($W84,頭囲データ!$R$12:$W$16,4,TRUE)*$W84^2+VLOOKUP($W84,頭囲データ!$R$12:$W$16,5,TRUE)*$W84+VLOOKUP($W84,頭囲データ!$R$12:$W$16,6,TRUE)</f>
        <v>#N/A</v>
      </c>
      <c r="BA84" s="81" t="e">
        <f>VLOOKUP($W84,頭囲データ!$R$17:$W$18,3,TRUE)*$W84^3+VLOOKUP($W84,頭囲データ!$R$17:$W$18,4,TRUE)*$W84^2+VLOOKUP($W84,頭囲データ!$R$17:$W$18,5,TRUE)*$W84+VLOOKUP($W84,頭囲データ!$R$17:$W$18,6,TRUE)</f>
        <v>#N/A</v>
      </c>
      <c r="BB84" s="81" t="e">
        <f t="shared" si="81"/>
        <v>#N/A</v>
      </c>
      <c r="BC84" s="81" t="e">
        <f>VLOOKUP($W84,胸囲データ!$R$10:$W$11,3,TRUE)*$W84^3+VLOOKUP($W84,胸囲データ!$R$10:$W$11,4,TRUE)*$W84^2+VLOOKUP($W84,胸囲データ!$R$10:$W$11,5,TRUE)*$W84+VLOOKUP($W84,胸囲データ!$R$10:$W$11,6,TRUE)</f>
        <v>#N/A</v>
      </c>
      <c r="BD84" s="81" t="e">
        <f>VLOOKUP($W84,胸囲データ!$R$12:$W$16,3,TRUE)*$W84^3+VLOOKUP($W84,胸囲データ!$R$12:$W$16,4,TRUE)*$W84^2+VLOOKUP($W84,胸囲データ!$R$12:$W$16,5,TRUE)*$W84+VLOOKUP($W84,胸囲データ!$R$12:$W$16,6,TRUE)</f>
        <v>#N/A</v>
      </c>
      <c r="BE84" s="81" t="e">
        <f>VLOOKUP($W84,胸囲データ!$R$17:$W$18,3,TRUE)*$W84^3+VLOOKUP($W84,胸囲データ!$R$17:$W$18,4,TRUE)*$W84^2+VLOOKUP($W84,胸囲データ!$R$17:$W$18,5,TRUE)*$W84+VLOOKUP($W84,胸囲データ!$R$17:$W$18,6,TRUE)</f>
        <v>#N/A</v>
      </c>
    </row>
    <row r="85" spans="1:57" x14ac:dyDescent="0.15">
      <c r="A85" s="35"/>
      <c r="B85" s="36"/>
      <c r="C85" s="36"/>
      <c r="D85" s="49"/>
      <c r="E85" s="76"/>
      <c r="F85" s="51" t="str">
        <f t="shared" si="86"/>
        <v/>
      </c>
      <c r="G85" s="37" t="str">
        <f t="shared" si="82"/>
        <v/>
      </c>
      <c r="H85" s="38" t="str">
        <f>IF(ISERROR(W85),"",VLOOKUP(W85,成長曲線_データ!$D$4:$AC$214,3,TRUE))</f>
        <v/>
      </c>
      <c r="I85" s="39" t="str">
        <f t="shared" si="58"/>
        <v/>
      </c>
      <c r="J85" s="39" t="str">
        <f t="shared" si="59"/>
        <v/>
      </c>
      <c r="K85" s="39" t="str">
        <f t="shared" si="60"/>
        <v/>
      </c>
      <c r="L85" s="39" t="str">
        <f t="shared" si="32"/>
        <v/>
      </c>
      <c r="M85" s="39" t="str">
        <f t="shared" si="83"/>
        <v/>
      </c>
      <c r="N85" s="39" t="str">
        <f t="shared" si="84"/>
        <v/>
      </c>
      <c r="O85" s="40" t="str">
        <f t="shared" si="61"/>
        <v/>
      </c>
      <c r="P85" s="40" t="str">
        <f t="shared" si="62"/>
        <v/>
      </c>
      <c r="Q85" s="39" t="str">
        <f t="shared" si="63"/>
        <v/>
      </c>
      <c r="R85" s="39" t="str">
        <f t="shared" si="64"/>
        <v/>
      </c>
      <c r="S85" s="39" t="str">
        <f t="shared" si="85"/>
        <v/>
      </c>
      <c r="T85" s="41" t="str">
        <f t="shared" si="65"/>
        <v/>
      </c>
      <c r="V85" s="90"/>
      <c r="W85" s="79" t="e">
        <f t="shared" si="66"/>
        <v>#N/A</v>
      </c>
      <c r="X85" s="79" t="e">
        <f t="shared" si="67"/>
        <v>#N/A</v>
      </c>
      <c r="Y85" s="80" t="e">
        <f>IF(W85="","",VLOOKUP(W85,成長曲線_データ!$D$4:$AC$214,4,TRUE))</f>
        <v>#N/A</v>
      </c>
      <c r="Z85" s="80" t="e">
        <f>IF(W85="","",VLOOKUP(W85,成長曲線_データ!$D$4:$AC$214,12,TRUE))</f>
        <v>#N/A</v>
      </c>
      <c r="AA85" s="81" t="e">
        <f>IF(W85="","",VLOOKUP(W85,成長曲線_データ!$D$4:$AC$214,13,TRUE))</f>
        <v>#N/A</v>
      </c>
      <c r="AB85" s="94" t="e">
        <f t="shared" si="68"/>
        <v>#N/A</v>
      </c>
      <c r="AC85" s="82" t="e">
        <f>IF(W85&lt;0.5,NA(),VLOOKUP((W85+1/8),成長曲線_データ!$V$4:$AA$73,2,TRUE))</f>
        <v>#N/A</v>
      </c>
      <c r="AD85" s="82" t="e">
        <f>IF(W85&lt;1,NA(),VLOOKUP(W85,成長曲線_データ!$V$4:$AA$73,3,TRUE))</f>
        <v>#N/A</v>
      </c>
      <c r="AE85" s="82" t="e">
        <f>IF(W85&lt;=6.5,VLOOKUP(W85,頭囲データ!$C$10:$E$85,2,TRUE),NA())</f>
        <v>#N/A</v>
      </c>
      <c r="AF85" s="82" t="e">
        <f>IF(W85&lt;=6.5,VLOOKUP(W85,頭囲データ!$C$10:$E$85,3,TRUE),NA())</f>
        <v>#N/A</v>
      </c>
      <c r="AG85" s="89" t="str">
        <f>入力!F85&amp;"y"&amp;入力!G85&amp;"m"</f>
        <v>ym</v>
      </c>
      <c r="AH85" s="89" t="e">
        <f>IF(AND(入力!W85&gt;=1,入力!W85&lt;6,入力!B85&gt;=70,入力!B85&lt;=120),入力!B85,NA())</f>
        <v>#N/A</v>
      </c>
      <c r="AI85" s="89" t="e">
        <f>IF(AND(入力!W85&gt;=1,入力!W85&lt;6,入力!B85&gt;=70,入力!B85&lt;=120),入力!X85,NA())</f>
        <v>#N/A</v>
      </c>
      <c r="AJ85" s="89" t="e">
        <f>IF(AND(入力!W85&gt;=6,入力!B85&gt;=100,入力!B85&lt;=184),入力!B85,NA())</f>
        <v>#N/A</v>
      </c>
      <c r="AK85" s="89" t="e">
        <f>IF(AND(入力!W85&gt;=6,入力!B85&gt;=100,入力!B85&lt;=184),入力!X85,NA())</f>
        <v>#N/A</v>
      </c>
      <c r="AL85" s="82" t="e">
        <f t="shared" si="69"/>
        <v>#N/A</v>
      </c>
      <c r="AM85" s="82"/>
      <c r="AN85" s="80" t="e">
        <f t="shared" si="70"/>
        <v>#N/A</v>
      </c>
      <c r="AO85" s="80" t="e">
        <f t="shared" si="71"/>
        <v>#N/A</v>
      </c>
      <c r="AP85" s="81" t="e">
        <f t="shared" si="72"/>
        <v>#N/A</v>
      </c>
      <c r="AQ85" s="81" t="e">
        <f t="shared" si="73"/>
        <v>#VALUE!</v>
      </c>
      <c r="AR85" s="81" t="e">
        <f t="shared" si="74"/>
        <v>#N/A</v>
      </c>
      <c r="AS85" s="81" t="e">
        <f t="shared" si="75"/>
        <v>#N/A</v>
      </c>
      <c r="AT85" s="81" t="e">
        <f t="shared" si="76"/>
        <v>#N/A</v>
      </c>
      <c r="AU85" s="81" t="e">
        <f t="shared" si="77"/>
        <v>#N/A</v>
      </c>
      <c r="AV85" s="81" t="e">
        <f t="shared" si="78"/>
        <v>#N/A</v>
      </c>
      <c r="AW85" s="81" t="e">
        <f t="shared" si="79"/>
        <v>#N/A</v>
      </c>
      <c r="AX85" s="81" t="e">
        <f t="shared" si="80"/>
        <v>#N/A</v>
      </c>
      <c r="AY85" s="81" t="e">
        <f>VLOOKUP($W85,頭囲データ!$R$10:$W$11,3,TRUE)*$W85^3+VLOOKUP($W85,頭囲データ!$R$10:$W$11,4,TRUE)*$W85^2+VLOOKUP($W85,頭囲データ!$R$10:$W$11,5,TRUE)*$W85+VLOOKUP($W85,頭囲データ!$R$10:$W$11,6,TRUE)</f>
        <v>#N/A</v>
      </c>
      <c r="AZ85" s="81" t="e">
        <f>VLOOKUP($W85,頭囲データ!$R$12:$W$16,3,TRUE)*$W85^3+VLOOKUP($W85,頭囲データ!$R$12:$W$16,4,TRUE)*$W85^2+VLOOKUP($W85,頭囲データ!$R$12:$W$16,5,TRUE)*$W85+VLOOKUP($W85,頭囲データ!$R$12:$W$16,6,TRUE)</f>
        <v>#N/A</v>
      </c>
      <c r="BA85" s="81" t="e">
        <f>VLOOKUP($W85,頭囲データ!$R$17:$W$18,3,TRUE)*$W85^3+VLOOKUP($W85,頭囲データ!$R$17:$W$18,4,TRUE)*$W85^2+VLOOKUP($W85,頭囲データ!$R$17:$W$18,5,TRUE)*$W85+VLOOKUP($W85,頭囲データ!$R$17:$W$18,6,TRUE)</f>
        <v>#N/A</v>
      </c>
      <c r="BB85" s="81" t="e">
        <f t="shared" si="81"/>
        <v>#N/A</v>
      </c>
      <c r="BC85" s="81" t="e">
        <f>VLOOKUP($W85,胸囲データ!$R$10:$W$11,3,TRUE)*$W85^3+VLOOKUP($W85,胸囲データ!$R$10:$W$11,4,TRUE)*$W85^2+VLOOKUP($W85,胸囲データ!$R$10:$W$11,5,TRUE)*$W85+VLOOKUP($W85,胸囲データ!$R$10:$W$11,6,TRUE)</f>
        <v>#N/A</v>
      </c>
      <c r="BD85" s="81" t="e">
        <f>VLOOKUP($W85,胸囲データ!$R$12:$W$16,3,TRUE)*$W85^3+VLOOKUP($W85,胸囲データ!$R$12:$W$16,4,TRUE)*$W85^2+VLOOKUP($W85,胸囲データ!$R$12:$W$16,5,TRUE)*$W85+VLOOKUP($W85,胸囲データ!$R$12:$W$16,6,TRUE)</f>
        <v>#N/A</v>
      </c>
      <c r="BE85" s="81" t="e">
        <f>VLOOKUP($W85,胸囲データ!$R$17:$W$18,3,TRUE)*$W85^3+VLOOKUP($W85,胸囲データ!$R$17:$W$18,4,TRUE)*$W85^2+VLOOKUP($W85,胸囲データ!$R$17:$W$18,5,TRUE)*$W85+VLOOKUP($W85,胸囲データ!$R$17:$W$18,6,TRUE)</f>
        <v>#N/A</v>
      </c>
    </row>
    <row r="86" spans="1:57" x14ac:dyDescent="0.15">
      <c r="A86" s="35"/>
      <c r="B86" s="36"/>
      <c r="C86" s="36"/>
      <c r="D86" s="49"/>
      <c r="E86" s="76"/>
      <c r="F86" s="51" t="str">
        <f t="shared" si="86"/>
        <v/>
      </c>
      <c r="G86" s="37" t="str">
        <f t="shared" si="82"/>
        <v/>
      </c>
      <c r="H86" s="38" t="str">
        <f>IF(ISERROR(W86),"",VLOOKUP(W86,成長曲線_データ!$D$4:$AC$214,3,TRUE))</f>
        <v/>
      </c>
      <c r="I86" s="39" t="str">
        <f t="shared" si="58"/>
        <v/>
      </c>
      <c r="J86" s="39" t="str">
        <f t="shared" si="59"/>
        <v/>
      </c>
      <c r="K86" s="39" t="str">
        <f t="shared" si="60"/>
        <v/>
      </c>
      <c r="L86" s="39" t="str">
        <f t="shared" si="32"/>
        <v/>
      </c>
      <c r="M86" s="39" t="str">
        <f t="shared" si="83"/>
        <v/>
      </c>
      <c r="N86" s="39" t="str">
        <f t="shared" si="84"/>
        <v/>
      </c>
      <c r="O86" s="40" t="str">
        <f t="shared" si="61"/>
        <v/>
      </c>
      <c r="P86" s="40" t="str">
        <f t="shared" si="62"/>
        <v/>
      </c>
      <c r="Q86" s="39" t="str">
        <f t="shared" si="63"/>
        <v/>
      </c>
      <c r="R86" s="39" t="str">
        <f t="shared" si="64"/>
        <v/>
      </c>
      <c r="S86" s="39" t="str">
        <f t="shared" si="85"/>
        <v/>
      </c>
      <c r="T86" s="41" t="str">
        <f t="shared" si="65"/>
        <v/>
      </c>
      <c r="V86" s="90"/>
      <c r="W86" s="79" t="e">
        <f t="shared" si="66"/>
        <v>#N/A</v>
      </c>
      <c r="X86" s="79" t="e">
        <f t="shared" si="67"/>
        <v>#N/A</v>
      </c>
      <c r="Y86" s="80" t="e">
        <f>IF(W86="","",VLOOKUP(W86,成長曲線_データ!$D$4:$AC$214,4,TRUE))</f>
        <v>#N/A</v>
      </c>
      <c r="Z86" s="80" t="e">
        <f>IF(W86="","",VLOOKUP(W86,成長曲線_データ!$D$4:$AC$214,12,TRUE))</f>
        <v>#N/A</v>
      </c>
      <c r="AA86" s="81" t="e">
        <f>IF(W86="","",VLOOKUP(W86,成長曲線_データ!$D$4:$AC$214,13,TRUE))</f>
        <v>#N/A</v>
      </c>
      <c r="AB86" s="94" t="e">
        <f t="shared" si="68"/>
        <v>#N/A</v>
      </c>
      <c r="AC86" s="82" t="e">
        <f>IF(W86&lt;0.5,NA(),VLOOKUP((W86+1/8),成長曲線_データ!$V$4:$AA$73,2,TRUE))</f>
        <v>#N/A</v>
      </c>
      <c r="AD86" s="82" t="e">
        <f>IF(W86&lt;1,NA(),VLOOKUP(W86,成長曲線_データ!$V$4:$AA$73,3,TRUE))</f>
        <v>#N/A</v>
      </c>
      <c r="AE86" s="82" t="e">
        <f>IF(W86&lt;=6.5,VLOOKUP(W86,頭囲データ!$C$10:$E$85,2,TRUE),NA())</f>
        <v>#N/A</v>
      </c>
      <c r="AF86" s="82" t="e">
        <f>IF(W86&lt;=6.5,VLOOKUP(W86,頭囲データ!$C$10:$E$85,3,TRUE),NA())</f>
        <v>#N/A</v>
      </c>
      <c r="AG86" s="89" t="str">
        <f>入力!F86&amp;"y"&amp;入力!G86&amp;"m"</f>
        <v>ym</v>
      </c>
      <c r="AH86" s="89" t="e">
        <f>IF(AND(入力!W86&gt;=1,入力!W86&lt;6,入力!B86&gt;=70,入力!B86&lt;=120),入力!B86,NA())</f>
        <v>#N/A</v>
      </c>
      <c r="AI86" s="89" t="e">
        <f>IF(AND(入力!W86&gt;=1,入力!W86&lt;6,入力!B86&gt;=70,入力!B86&lt;=120),入力!X86,NA())</f>
        <v>#N/A</v>
      </c>
      <c r="AJ86" s="89" t="e">
        <f>IF(AND(入力!W86&gt;=6,入力!B86&gt;=100,入力!B86&lt;=184),入力!B86,NA())</f>
        <v>#N/A</v>
      </c>
      <c r="AK86" s="89" t="e">
        <f>IF(AND(入力!W86&gt;=6,入力!B86&gt;=100,入力!B86&lt;=184),入力!X86,NA())</f>
        <v>#N/A</v>
      </c>
      <c r="AL86" s="82" t="e">
        <f t="shared" si="69"/>
        <v>#N/A</v>
      </c>
      <c r="AM86" s="82"/>
      <c r="AN86" s="80" t="e">
        <f t="shared" si="70"/>
        <v>#N/A</v>
      </c>
      <c r="AO86" s="80" t="e">
        <f t="shared" si="71"/>
        <v>#N/A</v>
      </c>
      <c r="AP86" s="81" t="e">
        <f t="shared" si="72"/>
        <v>#N/A</v>
      </c>
      <c r="AQ86" s="81" t="e">
        <f t="shared" si="73"/>
        <v>#VALUE!</v>
      </c>
      <c r="AR86" s="81" t="e">
        <f t="shared" si="74"/>
        <v>#N/A</v>
      </c>
      <c r="AS86" s="81" t="e">
        <f t="shared" si="75"/>
        <v>#N/A</v>
      </c>
      <c r="AT86" s="81" t="e">
        <f t="shared" si="76"/>
        <v>#N/A</v>
      </c>
      <c r="AU86" s="81" t="e">
        <f t="shared" si="77"/>
        <v>#N/A</v>
      </c>
      <c r="AV86" s="81" t="e">
        <f t="shared" si="78"/>
        <v>#N/A</v>
      </c>
      <c r="AW86" s="81" t="e">
        <f t="shared" si="79"/>
        <v>#N/A</v>
      </c>
      <c r="AX86" s="81" t="e">
        <f t="shared" si="80"/>
        <v>#N/A</v>
      </c>
      <c r="AY86" s="81" t="e">
        <f>VLOOKUP($W86,頭囲データ!$R$10:$W$11,3,TRUE)*$W86^3+VLOOKUP($W86,頭囲データ!$R$10:$W$11,4,TRUE)*$W86^2+VLOOKUP($W86,頭囲データ!$R$10:$W$11,5,TRUE)*$W86+VLOOKUP($W86,頭囲データ!$R$10:$W$11,6,TRUE)</f>
        <v>#N/A</v>
      </c>
      <c r="AZ86" s="81" t="e">
        <f>VLOOKUP($W86,頭囲データ!$R$12:$W$16,3,TRUE)*$W86^3+VLOOKUP($W86,頭囲データ!$R$12:$W$16,4,TRUE)*$W86^2+VLOOKUP($W86,頭囲データ!$R$12:$W$16,5,TRUE)*$W86+VLOOKUP($W86,頭囲データ!$R$12:$W$16,6,TRUE)</f>
        <v>#N/A</v>
      </c>
      <c r="BA86" s="81" t="e">
        <f>VLOOKUP($W86,頭囲データ!$R$17:$W$18,3,TRUE)*$W86^3+VLOOKUP($W86,頭囲データ!$R$17:$W$18,4,TRUE)*$W86^2+VLOOKUP($W86,頭囲データ!$R$17:$W$18,5,TRUE)*$W86+VLOOKUP($W86,頭囲データ!$R$17:$W$18,6,TRUE)</f>
        <v>#N/A</v>
      </c>
      <c r="BB86" s="81" t="e">
        <f t="shared" si="81"/>
        <v>#N/A</v>
      </c>
      <c r="BC86" s="81" t="e">
        <f>VLOOKUP($W86,胸囲データ!$R$10:$W$11,3,TRUE)*$W86^3+VLOOKUP($W86,胸囲データ!$R$10:$W$11,4,TRUE)*$W86^2+VLOOKUP($W86,胸囲データ!$R$10:$W$11,5,TRUE)*$W86+VLOOKUP($W86,胸囲データ!$R$10:$W$11,6,TRUE)</f>
        <v>#N/A</v>
      </c>
      <c r="BD86" s="81" t="e">
        <f>VLOOKUP($W86,胸囲データ!$R$12:$W$16,3,TRUE)*$W86^3+VLOOKUP($W86,胸囲データ!$R$12:$W$16,4,TRUE)*$W86^2+VLOOKUP($W86,胸囲データ!$R$12:$W$16,5,TRUE)*$W86+VLOOKUP($W86,胸囲データ!$R$12:$W$16,6,TRUE)</f>
        <v>#N/A</v>
      </c>
      <c r="BE86" s="81" t="e">
        <f>VLOOKUP($W86,胸囲データ!$R$17:$W$18,3,TRUE)*$W86^3+VLOOKUP($W86,胸囲データ!$R$17:$W$18,4,TRUE)*$W86^2+VLOOKUP($W86,胸囲データ!$R$17:$W$18,5,TRUE)*$W86+VLOOKUP($W86,胸囲データ!$R$17:$W$18,6,TRUE)</f>
        <v>#N/A</v>
      </c>
    </row>
    <row r="87" spans="1:57" x14ac:dyDescent="0.15">
      <c r="A87" s="35"/>
      <c r="B87" s="36"/>
      <c r="C87" s="36"/>
      <c r="D87" s="49"/>
      <c r="E87" s="76"/>
      <c r="F87" s="51" t="str">
        <f t="shared" si="86"/>
        <v/>
      </c>
      <c r="G87" s="37" t="str">
        <f t="shared" si="82"/>
        <v/>
      </c>
      <c r="H87" s="38" t="str">
        <f>IF(ISERROR(W87),"",VLOOKUP(W87,成長曲線_データ!$D$4:$AC$214,3,TRUE))</f>
        <v/>
      </c>
      <c r="I87" s="39" t="str">
        <f t="shared" si="58"/>
        <v/>
      </c>
      <c r="J87" s="39" t="str">
        <f t="shared" si="59"/>
        <v/>
      </c>
      <c r="K87" s="39" t="str">
        <f t="shared" si="60"/>
        <v/>
      </c>
      <c r="L87" s="39" t="str">
        <f t="shared" si="32"/>
        <v/>
      </c>
      <c r="M87" s="39" t="str">
        <f t="shared" si="83"/>
        <v/>
      </c>
      <c r="N87" s="39" t="str">
        <f t="shared" si="84"/>
        <v/>
      </c>
      <c r="O87" s="40" t="str">
        <f t="shared" si="61"/>
        <v/>
      </c>
      <c r="P87" s="40" t="str">
        <f t="shared" si="62"/>
        <v/>
      </c>
      <c r="Q87" s="39" t="str">
        <f t="shared" si="63"/>
        <v/>
      </c>
      <c r="R87" s="39" t="str">
        <f t="shared" si="64"/>
        <v/>
      </c>
      <c r="S87" s="39" t="str">
        <f t="shared" si="85"/>
        <v/>
      </c>
      <c r="T87" s="41" t="str">
        <f t="shared" si="65"/>
        <v/>
      </c>
      <c r="V87" s="90"/>
      <c r="W87" s="79" t="e">
        <f t="shared" si="66"/>
        <v>#N/A</v>
      </c>
      <c r="X87" s="79" t="e">
        <f t="shared" si="67"/>
        <v>#N/A</v>
      </c>
      <c r="Y87" s="80" t="e">
        <f>IF(W87="","",VLOOKUP(W87,成長曲線_データ!$D$4:$AC$214,4,TRUE))</f>
        <v>#N/A</v>
      </c>
      <c r="Z87" s="80" t="e">
        <f>IF(W87="","",VLOOKUP(W87,成長曲線_データ!$D$4:$AC$214,12,TRUE))</f>
        <v>#N/A</v>
      </c>
      <c r="AA87" s="81" t="e">
        <f>IF(W87="","",VLOOKUP(W87,成長曲線_データ!$D$4:$AC$214,13,TRUE))</f>
        <v>#N/A</v>
      </c>
      <c r="AB87" s="94" t="e">
        <f t="shared" si="68"/>
        <v>#N/A</v>
      </c>
      <c r="AC87" s="82" t="e">
        <f>IF(W87&lt;0.5,NA(),VLOOKUP((W87+1/8),成長曲線_データ!$V$4:$AA$73,2,TRUE))</f>
        <v>#N/A</v>
      </c>
      <c r="AD87" s="82" t="e">
        <f>IF(W87&lt;1,NA(),VLOOKUP(W87,成長曲線_データ!$V$4:$AA$73,3,TRUE))</f>
        <v>#N/A</v>
      </c>
      <c r="AE87" s="82" t="e">
        <f>IF(W87&lt;=6.5,VLOOKUP(W87,頭囲データ!$C$10:$E$85,2,TRUE),NA())</f>
        <v>#N/A</v>
      </c>
      <c r="AF87" s="82" t="e">
        <f>IF(W87&lt;=6.5,VLOOKUP(W87,頭囲データ!$C$10:$E$85,3,TRUE),NA())</f>
        <v>#N/A</v>
      </c>
      <c r="AG87" s="89" t="str">
        <f>入力!F87&amp;"y"&amp;入力!G87&amp;"m"</f>
        <v>ym</v>
      </c>
      <c r="AH87" s="89" t="e">
        <f>IF(AND(入力!W87&gt;=1,入力!W87&lt;6,入力!B87&gt;=70,入力!B87&lt;=120),入力!B87,NA())</f>
        <v>#N/A</v>
      </c>
      <c r="AI87" s="89" t="e">
        <f>IF(AND(入力!W87&gt;=1,入力!W87&lt;6,入力!B87&gt;=70,入力!B87&lt;=120),入力!X87,NA())</f>
        <v>#N/A</v>
      </c>
      <c r="AJ87" s="89" t="e">
        <f>IF(AND(入力!W87&gt;=6,入力!B87&gt;=100,入力!B87&lt;=184),入力!B87,NA())</f>
        <v>#N/A</v>
      </c>
      <c r="AK87" s="89" t="e">
        <f>IF(AND(入力!W87&gt;=6,入力!B87&gt;=100,入力!B87&lt;=184),入力!X87,NA())</f>
        <v>#N/A</v>
      </c>
      <c r="AL87" s="82" t="e">
        <f t="shared" si="69"/>
        <v>#N/A</v>
      </c>
      <c r="AM87" s="82"/>
      <c r="AN87" s="80" t="e">
        <f t="shared" si="70"/>
        <v>#N/A</v>
      </c>
      <c r="AO87" s="80" t="e">
        <f t="shared" si="71"/>
        <v>#N/A</v>
      </c>
      <c r="AP87" s="81" t="e">
        <f t="shared" si="72"/>
        <v>#N/A</v>
      </c>
      <c r="AQ87" s="81" t="e">
        <f t="shared" si="73"/>
        <v>#VALUE!</v>
      </c>
      <c r="AR87" s="81" t="e">
        <f t="shared" si="74"/>
        <v>#N/A</v>
      </c>
      <c r="AS87" s="81" t="e">
        <f t="shared" si="75"/>
        <v>#N/A</v>
      </c>
      <c r="AT87" s="81" t="e">
        <f t="shared" si="76"/>
        <v>#N/A</v>
      </c>
      <c r="AU87" s="81" t="e">
        <f t="shared" si="77"/>
        <v>#N/A</v>
      </c>
      <c r="AV87" s="81" t="e">
        <f t="shared" si="78"/>
        <v>#N/A</v>
      </c>
      <c r="AW87" s="81" t="e">
        <f t="shared" si="79"/>
        <v>#N/A</v>
      </c>
      <c r="AX87" s="81" t="e">
        <f t="shared" si="80"/>
        <v>#N/A</v>
      </c>
      <c r="AY87" s="81" t="e">
        <f>VLOOKUP($W87,頭囲データ!$R$10:$W$11,3,TRUE)*$W87^3+VLOOKUP($W87,頭囲データ!$R$10:$W$11,4,TRUE)*$W87^2+VLOOKUP($W87,頭囲データ!$R$10:$W$11,5,TRUE)*$W87+VLOOKUP($W87,頭囲データ!$R$10:$W$11,6,TRUE)</f>
        <v>#N/A</v>
      </c>
      <c r="AZ87" s="81" t="e">
        <f>VLOOKUP($W87,頭囲データ!$R$12:$W$16,3,TRUE)*$W87^3+VLOOKUP($W87,頭囲データ!$R$12:$W$16,4,TRUE)*$W87^2+VLOOKUP($W87,頭囲データ!$R$12:$W$16,5,TRUE)*$W87+VLOOKUP($W87,頭囲データ!$R$12:$W$16,6,TRUE)</f>
        <v>#N/A</v>
      </c>
      <c r="BA87" s="81" t="e">
        <f>VLOOKUP($W87,頭囲データ!$R$17:$W$18,3,TRUE)*$W87^3+VLOOKUP($W87,頭囲データ!$R$17:$W$18,4,TRUE)*$W87^2+VLOOKUP($W87,頭囲データ!$R$17:$W$18,5,TRUE)*$W87+VLOOKUP($W87,頭囲データ!$R$17:$W$18,6,TRUE)</f>
        <v>#N/A</v>
      </c>
      <c r="BB87" s="81" t="e">
        <f t="shared" si="81"/>
        <v>#N/A</v>
      </c>
      <c r="BC87" s="81" t="e">
        <f>VLOOKUP($W87,胸囲データ!$R$10:$W$11,3,TRUE)*$W87^3+VLOOKUP($W87,胸囲データ!$R$10:$W$11,4,TRUE)*$W87^2+VLOOKUP($W87,胸囲データ!$R$10:$W$11,5,TRUE)*$W87+VLOOKUP($W87,胸囲データ!$R$10:$W$11,6,TRUE)</f>
        <v>#N/A</v>
      </c>
      <c r="BD87" s="81" t="e">
        <f>VLOOKUP($W87,胸囲データ!$R$12:$W$16,3,TRUE)*$W87^3+VLOOKUP($W87,胸囲データ!$R$12:$W$16,4,TRUE)*$W87^2+VLOOKUP($W87,胸囲データ!$R$12:$W$16,5,TRUE)*$W87+VLOOKUP($W87,胸囲データ!$R$12:$W$16,6,TRUE)</f>
        <v>#N/A</v>
      </c>
      <c r="BE87" s="81" t="e">
        <f>VLOOKUP($W87,胸囲データ!$R$17:$W$18,3,TRUE)*$W87^3+VLOOKUP($W87,胸囲データ!$R$17:$W$18,4,TRUE)*$W87^2+VLOOKUP($W87,胸囲データ!$R$17:$W$18,5,TRUE)*$W87+VLOOKUP($W87,胸囲データ!$R$17:$W$18,6,TRUE)</f>
        <v>#N/A</v>
      </c>
    </row>
    <row r="88" spans="1:57" x14ac:dyDescent="0.15">
      <c r="A88" s="35"/>
      <c r="B88" s="36"/>
      <c r="C88" s="36"/>
      <c r="D88" s="49"/>
      <c r="E88" s="76"/>
      <c r="F88" s="51" t="str">
        <f t="shared" si="86"/>
        <v/>
      </c>
      <c r="G88" s="37" t="str">
        <f t="shared" si="82"/>
        <v/>
      </c>
      <c r="H88" s="38" t="str">
        <f>IF(ISERROR(W88),"",VLOOKUP(W88,成長曲線_データ!$D$4:$AC$214,3,TRUE))</f>
        <v/>
      </c>
      <c r="I88" s="39" t="str">
        <f t="shared" si="58"/>
        <v/>
      </c>
      <c r="J88" s="39" t="str">
        <f t="shared" si="59"/>
        <v/>
      </c>
      <c r="K88" s="39" t="str">
        <f t="shared" si="60"/>
        <v/>
      </c>
      <c r="L88" s="39" t="str">
        <f t="shared" si="32"/>
        <v/>
      </c>
      <c r="M88" s="39" t="str">
        <f t="shared" si="83"/>
        <v/>
      </c>
      <c r="N88" s="39" t="str">
        <f t="shared" si="84"/>
        <v/>
      </c>
      <c r="O88" s="40" t="str">
        <f t="shared" si="61"/>
        <v/>
      </c>
      <c r="P88" s="40" t="str">
        <f t="shared" si="62"/>
        <v/>
      </c>
      <c r="Q88" s="39" t="str">
        <f t="shared" si="63"/>
        <v/>
      </c>
      <c r="R88" s="39" t="str">
        <f t="shared" si="64"/>
        <v/>
      </c>
      <c r="S88" s="39" t="str">
        <f t="shared" si="85"/>
        <v/>
      </c>
      <c r="T88" s="41" t="str">
        <f t="shared" si="65"/>
        <v/>
      </c>
      <c r="V88" s="90"/>
      <c r="W88" s="79" t="e">
        <f t="shared" si="66"/>
        <v>#N/A</v>
      </c>
      <c r="X88" s="79" t="e">
        <f t="shared" si="67"/>
        <v>#N/A</v>
      </c>
      <c r="Y88" s="80" t="e">
        <f>IF(W88="","",VLOOKUP(W88,成長曲線_データ!$D$4:$AC$214,4,TRUE))</f>
        <v>#N/A</v>
      </c>
      <c r="Z88" s="80" t="e">
        <f>IF(W88="","",VLOOKUP(W88,成長曲線_データ!$D$4:$AC$214,12,TRUE))</f>
        <v>#N/A</v>
      </c>
      <c r="AA88" s="81" t="e">
        <f>IF(W88="","",VLOOKUP(W88,成長曲線_データ!$D$4:$AC$214,13,TRUE))</f>
        <v>#N/A</v>
      </c>
      <c r="AB88" s="94" t="e">
        <f t="shared" si="68"/>
        <v>#N/A</v>
      </c>
      <c r="AC88" s="82" t="e">
        <f>IF(W88&lt;0.5,NA(),VLOOKUP((W88+1/8),成長曲線_データ!$V$4:$AA$73,2,TRUE))</f>
        <v>#N/A</v>
      </c>
      <c r="AD88" s="82" t="e">
        <f>IF(W88&lt;1,NA(),VLOOKUP(W88,成長曲線_データ!$V$4:$AA$73,3,TRUE))</f>
        <v>#N/A</v>
      </c>
      <c r="AE88" s="82" t="e">
        <f>IF(W88&lt;=6.5,VLOOKUP(W88,頭囲データ!$C$10:$E$85,2,TRUE),NA())</f>
        <v>#N/A</v>
      </c>
      <c r="AF88" s="82" t="e">
        <f>IF(W88&lt;=6.5,VLOOKUP(W88,頭囲データ!$C$10:$E$85,3,TRUE),NA())</f>
        <v>#N/A</v>
      </c>
      <c r="AG88" s="89" t="str">
        <f>入力!F88&amp;"y"&amp;入力!G88&amp;"m"</f>
        <v>ym</v>
      </c>
      <c r="AH88" s="89" t="e">
        <f>IF(AND(入力!W88&gt;=1,入力!W88&lt;6,入力!B88&gt;=70,入力!B88&lt;=120),入力!B88,NA())</f>
        <v>#N/A</v>
      </c>
      <c r="AI88" s="89" t="e">
        <f>IF(AND(入力!W88&gt;=1,入力!W88&lt;6,入力!B88&gt;=70,入力!B88&lt;=120),入力!X88,NA())</f>
        <v>#N/A</v>
      </c>
      <c r="AJ88" s="89" t="e">
        <f>IF(AND(入力!W88&gt;=6,入力!B88&gt;=100,入力!B88&lt;=184),入力!B88,NA())</f>
        <v>#N/A</v>
      </c>
      <c r="AK88" s="89" t="e">
        <f>IF(AND(入力!W88&gt;=6,入力!B88&gt;=100,入力!B88&lt;=184),入力!X88,NA())</f>
        <v>#N/A</v>
      </c>
      <c r="AL88" s="82" t="e">
        <f t="shared" si="69"/>
        <v>#N/A</v>
      </c>
      <c r="AM88" s="82"/>
      <c r="AN88" s="80" t="e">
        <f t="shared" si="70"/>
        <v>#N/A</v>
      </c>
      <c r="AO88" s="80" t="e">
        <f t="shared" si="71"/>
        <v>#N/A</v>
      </c>
      <c r="AP88" s="81" t="e">
        <f t="shared" si="72"/>
        <v>#N/A</v>
      </c>
      <c r="AQ88" s="81" t="e">
        <f t="shared" si="73"/>
        <v>#VALUE!</v>
      </c>
      <c r="AR88" s="81" t="e">
        <f t="shared" si="74"/>
        <v>#N/A</v>
      </c>
      <c r="AS88" s="81" t="e">
        <f t="shared" si="75"/>
        <v>#N/A</v>
      </c>
      <c r="AT88" s="81" t="e">
        <f t="shared" si="76"/>
        <v>#N/A</v>
      </c>
      <c r="AU88" s="81" t="e">
        <f t="shared" si="77"/>
        <v>#N/A</v>
      </c>
      <c r="AV88" s="81" t="e">
        <f t="shared" si="78"/>
        <v>#N/A</v>
      </c>
      <c r="AW88" s="81" t="e">
        <f t="shared" si="79"/>
        <v>#N/A</v>
      </c>
      <c r="AX88" s="81" t="e">
        <f t="shared" si="80"/>
        <v>#N/A</v>
      </c>
      <c r="AY88" s="81" t="e">
        <f>VLOOKUP($W88,頭囲データ!$R$10:$W$11,3,TRUE)*$W88^3+VLOOKUP($W88,頭囲データ!$R$10:$W$11,4,TRUE)*$W88^2+VLOOKUP($W88,頭囲データ!$R$10:$W$11,5,TRUE)*$W88+VLOOKUP($W88,頭囲データ!$R$10:$W$11,6,TRUE)</f>
        <v>#N/A</v>
      </c>
      <c r="AZ88" s="81" t="e">
        <f>VLOOKUP($W88,頭囲データ!$R$12:$W$16,3,TRUE)*$W88^3+VLOOKUP($W88,頭囲データ!$R$12:$W$16,4,TRUE)*$W88^2+VLOOKUP($W88,頭囲データ!$R$12:$W$16,5,TRUE)*$W88+VLOOKUP($W88,頭囲データ!$R$12:$W$16,6,TRUE)</f>
        <v>#N/A</v>
      </c>
      <c r="BA88" s="81" t="e">
        <f>VLOOKUP($W88,頭囲データ!$R$17:$W$18,3,TRUE)*$W88^3+VLOOKUP($W88,頭囲データ!$R$17:$W$18,4,TRUE)*$W88^2+VLOOKUP($W88,頭囲データ!$R$17:$W$18,5,TRUE)*$W88+VLOOKUP($W88,頭囲データ!$R$17:$W$18,6,TRUE)</f>
        <v>#N/A</v>
      </c>
      <c r="BB88" s="81" t="e">
        <f t="shared" si="81"/>
        <v>#N/A</v>
      </c>
      <c r="BC88" s="81" t="e">
        <f>VLOOKUP($W88,胸囲データ!$R$10:$W$11,3,TRUE)*$W88^3+VLOOKUP($W88,胸囲データ!$R$10:$W$11,4,TRUE)*$W88^2+VLOOKUP($W88,胸囲データ!$R$10:$W$11,5,TRUE)*$W88+VLOOKUP($W88,胸囲データ!$R$10:$W$11,6,TRUE)</f>
        <v>#N/A</v>
      </c>
      <c r="BD88" s="81" t="e">
        <f>VLOOKUP($W88,胸囲データ!$R$12:$W$16,3,TRUE)*$W88^3+VLOOKUP($W88,胸囲データ!$R$12:$W$16,4,TRUE)*$W88^2+VLOOKUP($W88,胸囲データ!$R$12:$W$16,5,TRUE)*$W88+VLOOKUP($W88,胸囲データ!$R$12:$W$16,6,TRUE)</f>
        <v>#N/A</v>
      </c>
      <c r="BE88" s="81" t="e">
        <f>VLOOKUP($W88,胸囲データ!$R$17:$W$18,3,TRUE)*$W88^3+VLOOKUP($W88,胸囲データ!$R$17:$W$18,4,TRUE)*$W88^2+VLOOKUP($W88,胸囲データ!$R$17:$W$18,5,TRUE)*$W88+VLOOKUP($W88,胸囲データ!$R$17:$W$18,6,TRUE)</f>
        <v>#N/A</v>
      </c>
    </row>
    <row r="89" spans="1:57" x14ac:dyDescent="0.15">
      <c r="A89" s="35"/>
      <c r="B89" s="36"/>
      <c r="C89" s="36"/>
      <c r="D89" s="49"/>
      <c r="E89" s="76"/>
      <c r="F89" s="51" t="str">
        <f t="shared" si="86"/>
        <v/>
      </c>
      <c r="G89" s="37" t="str">
        <f t="shared" si="82"/>
        <v/>
      </c>
      <c r="H89" s="38" t="str">
        <f>IF(ISERROR(W89),"",VLOOKUP(W89,成長曲線_データ!$D$4:$AC$214,3,TRUE))</f>
        <v/>
      </c>
      <c r="I89" s="39" t="str">
        <f t="shared" si="58"/>
        <v/>
      </c>
      <c r="J89" s="39" t="str">
        <f t="shared" si="59"/>
        <v/>
      </c>
      <c r="K89" s="39" t="str">
        <f t="shared" si="60"/>
        <v/>
      </c>
      <c r="L89" s="39" t="str">
        <f t="shared" si="32"/>
        <v/>
      </c>
      <c r="M89" s="39" t="str">
        <f t="shared" si="83"/>
        <v/>
      </c>
      <c r="N89" s="39" t="str">
        <f t="shared" si="84"/>
        <v/>
      </c>
      <c r="O89" s="40" t="str">
        <f t="shared" si="61"/>
        <v/>
      </c>
      <c r="P89" s="40" t="str">
        <f t="shared" si="62"/>
        <v/>
      </c>
      <c r="Q89" s="39" t="str">
        <f t="shared" si="63"/>
        <v/>
      </c>
      <c r="R89" s="39" t="str">
        <f t="shared" si="64"/>
        <v/>
      </c>
      <c r="S89" s="39" t="str">
        <f t="shared" si="85"/>
        <v/>
      </c>
      <c r="T89" s="41" t="str">
        <f t="shared" si="65"/>
        <v/>
      </c>
      <c r="V89" s="90"/>
      <c r="W89" s="79" t="e">
        <f t="shared" si="66"/>
        <v>#N/A</v>
      </c>
      <c r="X89" s="79" t="e">
        <f t="shared" si="67"/>
        <v>#N/A</v>
      </c>
      <c r="Y89" s="80" t="e">
        <f>IF(W89="","",VLOOKUP(W89,成長曲線_データ!$D$4:$AC$214,4,TRUE))</f>
        <v>#N/A</v>
      </c>
      <c r="Z89" s="80" t="e">
        <f>IF(W89="","",VLOOKUP(W89,成長曲線_データ!$D$4:$AC$214,12,TRUE))</f>
        <v>#N/A</v>
      </c>
      <c r="AA89" s="81" t="e">
        <f>IF(W89="","",VLOOKUP(W89,成長曲線_データ!$D$4:$AC$214,13,TRUE))</f>
        <v>#N/A</v>
      </c>
      <c r="AB89" s="94" t="e">
        <f t="shared" si="68"/>
        <v>#N/A</v>
      </c>
      <c r="AC89" s="82" t="e">
        <f>IF(W89&lt;0.5,NA(),VLOOKUP((W89+1/8),成長曲線_データ!$V$4:$AA$73,2,TRUE))</f>
        <v>#N/A</v>
      </c>
      <c r="AD89" s="82" t="e">
        <f>IF(W89&lt;1,NA(),VLOOKUP(W89,成長曲線_データ!$V$4:$AA$73,3,TRUE))</f>
        <v>#N/A</v>
      </c>
      <c r="AE89" s="82" t="e">
        <f>IF(W89&lt;=6.5,VLOOKUP(W89,頭囲データ!$C$10:$E$85,2,TRUE),NA())</f>
        <v>#N/A</v>
      </c>
      <c r="AF89" s="82" t="e">
        <f>IF(W89&lt;=6.5,VLOOKUP(W89,頭囲データ!$C$10:$E$85,3,TRUE),NA())</f>
        <v>#N/A</v>
      </c>
      <c r="AG89" s="89" t="str">
        <f>入力!F89&amp;"y"&amp;入力!G89&amp;"m"</f>
        <v>ym</v>
      </c>
      <c r="AH89" s="89" t="e">
        <f>IF(AND(入力!W89&gt;=1,入力!W89&lt;6,入力!B89&gt;=70,入力!B89&lt;=120),入力!B89,NA())</f>
        <v>#N/A</v>
      </c>
      <c r="AI89" s="89" t="e">
        <f>IF(AND(入力!W89&gt;=1,入力!W89&lt;6,入力!B89&gt;=70,入力!B89&lt;=120),入力!X89,NA())</f>
        <v>#N/A</v>
      </c>
      <c r="AJ89" s="89" t="e">
        <f>IF(AND(入力!W89&gt;=6,入力!B89&gt;=100,入力!B89&lt;=184),入力!B89,NA())</f>
        <v>#N/A</v>
      </c>
      <c r="AK89" s="89" t="e">
        <f>IF(AND(入力!W89&gt;=6,入力!B89&gt;=100,入力!B89&lt;=184),入力!X89,NA())</f>
        <v>#N/A</v>
      </c>
      <c r="AL89" s="82" t="e">
        <f t="shared" si="69"/>
        <v>#N/A</v>
      </c>
      <c r="AM89" s="82"/>
      <c r="AN89" s="80" t="e">
        <f t="shared" si="70"/>
        <v>#N/A</v>
      </c>
      <c r="AO89" s="80" t="e">
        <f t="shared" si="71"/>
        <v>#N/A</v>
      </c>
      <c r="AP89" s="81" t="e">
        <f t="shared" si="72"/>
        <v>#N/A</v>
      </c>
      <c r="AQ89" s="81" t="e">
        <f t="shared" si="73"/>
        <v>#VALUE!</v>
      </c>
      <c r="AR89" s="81" t="e">
        <f t="shared" si="74"/>
        <v>#N/A</v>
      </c>
      <c r="AS89" s="81" t="e">
        <f t="shared" si="75"/>
        <v>#N/A</v>
      </c>
      <c r="AT89" s="81" t="e">
        <f t="shared" si="76"/>
        <v>#N/A</v>
      </c>
      <c r="AU89" s="81" t="e">
        <f t="shared" si="77"/>
        <v>#N/A</v>
      </c>
      <c r="AV89" s="81" t="e">
        <f t="shared" si="78"/>
        <v>#N/A</v>
      </c>
      <c r="AW89" s="81" t="e">
        <f t="shared" si="79"/>
        <v>#N/A</v>
      </c>
      <c r="AX89" s="81" t="e">
        <f t="shared" si="80"/>
        <v>#N/A</v>
      </c>
      <c r="AY89" s="81" t="e">
        <f>VLOOKUP($W89,頭囲データ!$R$10:$W$11,3,TRUE)*$W89^3+VLOOKUP($W89,頭囲データ!$R$10:$W$11,4,TRUE)*$W89^2+VLOOKUP($W89,頭囲データ!$R$10:$W$11,5,TRUE)*$W89+VLOOKUP($W89,頭囲データ!$R$10:$W$11,6,TRUE)</f>
        <v>#N/A</v>
      </c>
      <c r="AZ89" s="81" t="e">
        <f>VLOOKUP($W89,頭囲データ!$R$12:$W$16,3,TRUE)*$W89^3+VLOOKUP($W89,頭囲データ!$R$12:$W$16,4,TRUE)*$W89^2+VLOOKUP($W89,頭囲データ!$R$12:$W$16,5,TRUE)*$W89+VLOOKUP($W89,頭囲データ!$R$12:$W$16,6,TRUE)</f>
        <v>#N/A</v>
      </c>
      <c r="BA89" s="81" t="e">
        <f>VLOOKUP($W89,頭囲データ!$R$17:$W$18,3,TRUE)*$W89^3+VLOOKUP($W89,頭囲データ!$R$17:$W$18,4,TRUE)*$W89^2+VLOOKUP($W89,頭囲データ!$R$17:$W$18,5,TRUE)*$W89+VLOOKUP($W89,頭囲データ!$R$17:$W$18,6,TRUE)</f>
        <v>#N/A</v>
      </c>
      <c r="BB89" s="81" t="e">
        <f t="shared" si="81"/>
        <v>#N/A</v>
      </c>
      <c r="BC89" s="81" t="e">
        <f>VLOOKUP($W89,胸囲データ!$R$10:$W$11,3,TRUE)*$W89^3+VLOOKUP($W89,胸囲データ!$R$10:$W$11,4,TRUE)*$W89^2+VLOOKUP($W89,胸囲データ!$R$10:$W$11,5,TRUE)*$W89+VLOOKUP($W89,胸囲データ!$R$10:$W$11,6,TRUE)</f>
        <v>#N/A</v>
      </c>
      <c r="BD89" s="81" t="e">
        <f>VLOOKUP($W89,胸囲データ!$R$12:$W$16,3,TRUE)*$W89^3+VLOOKUP($W89,胸囲データ!$R$12:$W$16,4,TRUE)*$W89^2+VLOOKUP($W89,胸囲データ!$R$12:$W$16,5,TRUE)*$W89+VLOOKUP($W89,胸囲データ!$R$12:$W$16,6,TRUE)</f>
        <v>#N/A</v>
      </c>
      <c r="BE89" s="81" t="e">
        <f>VLOOKUP($W89,胸囲データ!$R$17:$W$18,3,TRUE)*$W89^3+VLOOKUP($W89,胸囲データ!$R$17:$W$18,4,TRUE)*$W89^2+VLOOKUP($W89,胸囲データ!$R$17:$W$18,5,TRUE)*$W89+VLOOKUP($W89,胸囲データ!$R$17:$W$18,6,TRUE)</f>
        <v>#N/A</v>
      </c>
    </row>
    <row r="90" spans="1:57" x14ac:dyDescent="0.15">
      <c r="A90" s="35"/>
      <c r="B90" s="36"/>
      <c r="C90" s="36"/>
      <c r="D90" s="49"/>
      <c r="E90" s="76"/>
      <c r="F90" s="51" t="str">
        <f t="shared" si="86"/>
        <v/>
      </c>
      <c r="G90" s="37" t="str">
        <f t="shared" si="82"/>
        <v/>
      </c>
      <c r="H90" s="38" t="str">
        <f>IF(ISERROR(W90),"",VLOOKUP(W90,成長曲線_データ!$D$4:$AC$214,3,TRUE))</f>
        <v/>
      </c>
      <c r="I90" s="39" t="str">
        <f t="shared" si="58"/>
        <v/>
      </c>
      <c r="J90" s="39" t="str">
        <f t="shared" si="59"/>
        <v/>
      </c>
      <c r="K90" s="39" t="str">
        <f t="shared" si="60"/>
        <v/>
      </c>
      <c r="L90" s="39" t="str">
        <f t="shared" si="32"/>
        <v/>
      </c>
      <c r="M90" s="39" t="str">
        <f t="shared" si="83"/>
        <v/>
      </c>
      <c r="N90" s="39" t="str">
        <f t="shared" si="84"/>
        <v/>
      </c>
      <c r="O90" s="40" t="str">
        <f t="shared" si="61"/>
        <v/>
      </c>
      <c r="P90" s="40" t="str">
        <f t="shared" si="62"/>
        <v/>
      </c>
      <c r="Q90" s="39" t="str">
        <f t="shared" si="63"/>
        <v/>
      </c>
      <c r="R90" s="39" t="str">
        <f t="shared" si="64"/>
        <v/>
      </c>
      <c r="S90" s="39" t="str">
        <f t="shared" si="85"/>
        <v/>
      </c>
      <c r="T90" s="41" t="str">
        <f t="shared" si="65"/>
        <v/>
      </c>
      <c r="V90" s="90"/>
      <c r="W90" s="79" t="e">
        <f t="shared" si="66"/>
        <v>#N/A</v>
      </c>
      <c r="X90" s="79" t="e">
        <f t="shared" si="67"/>
        <v>#N/A</v>
      </c>
      <c r="Y90" s="80" t="e">
        <f>IF(W90="","",VLOOKUP(W90,成長曲線_データ!$D$4:$AC$214,4,TRUE))</f>
        <v>#N/A</v>
      </c>
      <c r="Z90" s="80" t="e">
        <f>IF(W90="","",VLOOKUP(W90,成長曲線_データ!$D$4:$AC$214,12,TRUE))</f>
        <v>#N/A</v>
      </c>
      <c r="AA90" s="81" t="e">
        <f>IF(W90="","",VLOOKUP(W90,成長曲線_データ!$D$4:$AC$214,13,TRUE))</f>
        <v>#N/A</v>
      </c>
      <c r="AB90" s="94" t="e">
        <f t="shared" si="68"/>
        <v>#N/A</v>
      </c>
      <c r="AC90" s="82" t="e">
        <f>IF(W90&lt;0.5,NA(),VLOOKUP((W90+1/8),成長曲線_データ!$V$4:$AA$73,2,TRUE))</f>
        <v>#N/A</v>
      </c>
      <c r="AD90" s="82" t="e">
        <f>IF(W90&lt;1,NA(),VLOOKUP(W90,成長曲線_データ!$V$4:$AA$73,3,TRUE))</f>
        <v>#N/A</v>
      </c>
      <c r="AE90" s="82" t="e">
        <f>IF(W90&lt;=6.5,VLOOKUP(W90,頭囲データ!$C$10:$E$85,2,TRUE),NA())</f>
        <v>#N/A</v>
      </c>
      <c r="AF90" s="82" t="e">
        <f>IF(W90&lt;=6.5,VLOOKUP(W90,頭囲データ!$C$10:$E$85,3,TRUE),NA())</f>
        <v>#N/A</v>
      </c>
      <c r="AG90" s="89" t="str">
        <f>入力!F90&amp;"y"&amp;入力!G90&amp;"m"</f>
        <v>ym</v>
      </c>
      <c r="AH90" s="89" t="e">
        <f>IF(AND(入力!W90&gt;=1,入力!W90&lt;6,入力!B90&gt;=70,入力!B90&lt;=120),入力!B90,NA())</f>
        <v>#N/A</v>
      </c>
      <c r="AI90" s="89" t="e">
        <f>IF(AND(入力!W90&gt;=1,入力!W90&lt;6,入力!B90&gt;=70,入力!B90&lt;=120),入力!X90,NA())</f>
        <v>#N/A</v>
      </c>
      <c r="AJ90" s="89" t="e">
        <f>IF(AND(入力!W90&gt;=6,入力!B90&gt;=100,入力!B90&lt;=184),入力!B90,NA())</f>
        <v>#N/A</v>
      </c>
      <c r="AK90" s="89" t="e">
        <f>IF(AND(入力!W90&gt;=6,入力!B90&gt;=100,入力!B90&lt;=184),入力!X90,NA())</f>
        <v>#N/A</v>
      </c>
      <c r="AL90" s="82" t="e">
        <f t="shared" si="69"/>
        <v>#N/A</v>
      </c>
      <c r="AM90" s="82"/>
      <c r="AN90" s="80" t="e">
        <f t="shared" si="70"/>
        <v>#N/A</v>
      </c>
      <c r="AO90" s="80" t="e">
        <f t="shared" si="71"/>
        <v>#N/A</v>
      </c>
      <c r="AP90" s="81" t="e">
        <f t="shared" si="72"/>
        <v>#N/A</v>
      </c>
      <c r="AQ90" s="81" t="e">
        <f t="shared" si="73"/>
        <v>#VALUE!</v>
      </c>
      <c r="AR90" s="81" t="e">
        <f t="shared" si="74"/>
        <v>#N/A</v>
      </c>
      <c r="AS90" s="81" t="e">
        <f t="shared" si="75"/>
        <v>#N/A</v>
      </c>
      <c r="AT90" s="81" t="e">
        <f t="shared" si="76"/>
        <v>#N/A</v>
      </c>
      <c r="AU90" s="81" t="e">
        <f t="shared" si="77"/>
        <v>#N/A</v>
      </c>
      <c r="AV90" s="81" t="e">
        <f t="shared" si="78"/>
        <v>#N/A</v>
      </c>
      <c r="AW90" s="81" t="e">
        <f t="shared" si="79"/>
        <v>#N/A</v>
      </c>
      <c r="AX90" s="81" t="e">
        <f t="shared" si="80"/>
        <v>#N/A</v>
      </c>
      <c r="AY90" s="81" t="e">
        <f>VLOOKUP($W90,頭囲データ!$R$10:$W$11,3,TRUE)*$W90^3+VLOOKUP($W90,頭囲データ!$R$10:$W$11,4,TRUE)*$W90^2+VLOOKUP($W90,頭囲データ!$R$10:$W$11,5,TRUE)*$W90+VLOOKUP($W90,頭囲データ!$R$10:$W$11,6,TRUE)</f>
        <v>#N/A</v>
      </c>
      <c r="AZ90" s="81" t="e">
        <f>VLOOKUP($W90,頭囲データ!$R$12:$W$16,3,TRUE)*$W90^3+VLOOKUP($W90,頭囲データ!$R$12:$W$16,4,TRUE)*$W90^2+VLOOKUP($W90,頭囲データ!$R$12:$W$16,5,TRUE)*$W90+VLOOKUP($W90,頭囲データ!$R$12:$W$16,6,TRUE)</f>
        <v>#N/A</v>
      </c>
      <c r="BA90" s="81" t="e">
        <f>VLOOKUP($W90,頭囲データ!$R$17:$W$18,3,TRUE)*$W90^3+VLOOKUP($W90,頭囲データ!$R$17:$W$18,4,TRUE)*$W90^2+VLOOKUP($W90,頭囲データ!$R$17:$W$18,5,TRUE)*$W90+VLOOKUP($W90,頭囲データ!$R$17:$W$18,6,TRUE)</f>
        <v>#N/A</v>
      </c>
      <c r="BB90" s="81" t="e">
        <f t="shared" si="81"/>
        <v>#N/A</v>
      </c>
      <c r="BC90" s="81" t="e">
        <f>VLOOKUP($W90,胸囲データ!$R$10:$W$11,3,TRUE)*$W90^3+VLOOKUP($W90,胸囲データ!$R$10:$W$11,4,TRUE)*$W90^2+VLOOKUP($W90,胸囲データ!$R$10:$W$11,5,TRUE)*$W90+VLOOKUP($W90,胸囲データ!$R$10:$W$11,6,TRUE)</f>
        <v>#N/A</v>
      </c>
      <c r="BD90" s="81" t="e">
        <f>VLOOKUP($W90,胸囲データ!$R$12:$W$16,3,TRUE)*$W90^3+VLOOKUP($W90,胸囲データ!$R$12:$W$16,4,TRUE)*$W90^2+VLOOKUP($W90,胸囲データ!$R$12:$W$16,5,TRUE)*$W90+VLOOKUP($W90,胸囲データ!$R$12:$W$16,6,TRUE)</f>
        <v>#N/A</v>
      </c>
      <c r="BE90" s="81" t="e">
        <f>VLOOKUP($W90,胸囲データ!$R$17:$W$18,3,TRUE)*$W90^3+VLOOKUP($W90,胸囲データ!$R$17:$W$18,4,TRUE)*$W90^2+VLOOKUP($W90,胸囲データ!$R$17:$W$18,5,TRUE)*$W90+VLOOKUP($W90,胸囲データ!$R$17:$W$18,6,TRUE)</f>
        <v>#N/A</v>
      </c>
    </row>
    <row r="91" spans="1:57" x14ac:dyDescent="0.15">
      <c r="A91" s="35"/>
      <c r="B91" s="36"/>
      <c r="C91" s="36"/>
      <c r="D91" s="49"/>
      <c r="E91" s="76"/>
      <c r="F91" s="51" t="str">
        <f t="shared" si="86"/>
        <v/>
      </c>
      <c r="G91" s="37" t="str">
        <f t="shared" si="82"/>
        <v/>
      </c>
      <c r="H91" s="38" t="str">
        <f>IF(ISERROR(W91),"",VLOOKUP(W91,成長曲線_データ!$D$4:$AC$214,3,TRUE))</f>
        <v/>
      </c>
      <c r="I91" s="39" t="str">
        <f t="shared" si="58"/>
        <v/>
      </c>
      <c r="J91" s="39" t="str">
        <f t="shared" si="59"/>
        <v/>
      </c>
      <c r="K91" s="39" t="str">
        <f t="shared" si="60"/>
        <v/>
      </c>
      <c r="L91" s="39" t="str">
        <f t="shared" si="32"/>
        <v/>
      </c>
      <c r="M91" s="39" t="str">
        <f t="shared" si="83"/>
        <v/>
      </c>
      <c r="N91" s="39" t="str">
        <f t="shared" si="84"/>
        <v/>
      </c>
      <c r="O91" s="40" t="str">
        <f t="shared" si="61"/>
        <v/>
      </c>
      <c r="P91" s="40" t="str">
        <f t="shared" si="62"/>
        <v/>
      </c>
      <c r="Q91" s="39" t="str">
        <f t="shared" si="63"/>
        <v/>
      </c>
      <c r="R91" s="39" t="str">
        <f t="shared" si="64"/>
        <v/>
      </c>
      <c r="S91" s="39" t="str">
        <f t="shared" si="85"/>
        <v/>
      </c>
      <c r="T91" s="41" t="str">
        <f t="shared" si="65"/>
        <v/>
      </c>
      <c r="V91" s="90"/>
      <c r="W91" s="79" t="e">
        <f t="shared" si="66"/>
        <v>#N/A</v>
      </c>
      <c r="X91" s="79" t="e">
        <f t="shared" si="67"/>
        <v>#N/A</v>
      </c>
      <c r="Y91" s="80" t="e">
        <f>IF(W91="","",VLOOKUP(W91,成長曲線_データ!$D$4:$AC$214,4,TRUE))</f>
        <v>#N/A</v>
      </c>
      <c r="Z91" s="80" t="e">
        <f>IF(W91="","",VLOOKUP(W91,成長曲線_データ!$D$4:$AC$214,12,TRUE))</f>
        <v>#N/A</v>
      </c>
      <c r="AA91" s="81" t="e">
        <f>IF(W91="","",VLOOKUP(W91,成長曲線_データ!$D$4:$AC$214,13,TRUE))</f>
        <v>#N/A</v>
      </c>
      <c r="AB91" s="94" t="e">
        <f t="shared" si="68"/>
        <v>#N/A</v>
      </c>
      <c r="AC91" s="82" t="e">
        <f>IF(W91&lt;0.5,NA(),VLOOKUP((W91+1/8),成長曲線_データ!$V$4:$AA$73,2,TRUE))</f>
        <v>#N/A</v>
      </c>
      <c r="AD91" s="82" t="e">
        <f>IF(W91&lt;1,NA(),VLOOKUP(W91,成長曲線_データ!$V$4:$AA$73,3,TRUE))</f>
        <v>#N/A</v>
      </c>
      <c r="AE91" s="82" t="e">
        <f>IF(W91&lt;=6.5,VLOOKUP(W91,頭囲データ!$C$10:$E$85,2,TRUE),NA())</f>
        <v>#N/A</v>
      </c>
      <c r="AF91" s="82" t="e">
        <f>IF(W91&lt;=6.5,VLOOKUP(W91,頭囲データ!$C$10:$E$85,3,TRUE),NA())</f>
        <v>#N/A</v>
      </c>
      <c r="AG91" s="89" t="str">
        <f>入力!F91&amp;"y"&amp;入力!G91&amp;"m"</f>
        <v>ym</v>
      </c>
      <c r="AH91" s="89" t="e">
        <f>IF(AND(入力!W91&gt;=1,入力!W91&lt;6,入力!B91&gt;=70,入力!B91&lt;=120),入力!B91,NA())</f>
        <v>#N/A</v>
      </c>
      <c r="AI91" s="89" t="e">
        <f>IF(AND(入力!W91&gt;=1,入力!W91&lt;6,入力!B91&gt;=70,入力!B91&lt;=120),入力!X91,NA())</f>
        <v>#N/A</v>
      </c>
      <c r="AJ91" s="89" t="e">
        <f>IF(AND(入力!W91&gt;=6,入力!B91&gt;=100,入力!B91&lt;=184),入力!B91,NA())</f>
        <v>#N/A</v>
      </c>
      <c r="AK91" s="89" t="e">
        <f>IF(AND(入力!W91&gt;=6,入力!B91&gt;=100,入力!B91&lt;=184),入力!X91,NA())</f>
        <v>#N/A</v>
      </c>
      <c r="AL91" s="82" t="e">
        <f t="shared" si="69"/>
        <v>#N/A</v>
      </c>
      <c r="AM91" s="82"/>
      <c r="AN91" s="80" t="e">
        <f t="shared" si="70"/>
        <v>#N/A</v>
      </c>
      <c r="AO91" s="80" t="e">
        <f t="shared" si="71"/>
        <v>#N/A</v>
      </c>
      <c r="AP91" s="81" t="e">
        <f t="shared" si="72"/>
        <v>#N/A</v>
      </c>
      <c r="AQ91" s="81" t="e">
        <f t="shared" si="73"/>
        <v>#VALUE!</v>
      </c>
      <c r="AR91" s="81" t="e">
        <f t="shared" si="74"/>
        <v>#N/A</v>
      </c>
      <c r="AS91" s="81" t="e">
        <f t="shared" si="75"/>
        <v>#N/A</v>
      </c>
      <c r="AT91" s="81" t="e">
        <f t="shared" si="76"/>
        <v>#N/A</v>
      </c>
      <c r="AU91" s="81" t="e">
        <f t="shared" si="77"/>
        <v>#N/A</v>
      </c>
      <c r="AV91" s="81" t="e">
        <f t="shared" si="78"/>
        <v>#N/A</v>
      </c>
      <c r="AW91" s="81" t="e">
        <f t="shared" si="79"/>
        <v>#N/A</v>
      </c>
      <c r="AX91" s="81" t="e">
        <f t="shared" si="80"/>
        <v>#N/A</v>
      </c>
      <c r="AY91" s="81" t="e">
        <f>VLOOKUP($W91,頭囲データ!$R$10:$W$11,3,TRUE)*$W91^3+VLOOKUP($W91,頭囲データ!$R$10:$W$11,4,TRUE)*$W91^2+VLOOKUP($W91,頭囲データ!$R$10:$W$11,5,TRUE)*$W91+VLOOKUP($W91,頭囲データ!$R$10:$W$11,6,TRUE)</f>
        <v>#N/A</v>
      </c>
      <c r="AZ91" s="81" t="e">
        <f>VLOOKUP($W91,頭囲データ!$R$12:$W$16,3,TRUE)*$W91^3+VLOOKUP($W91,頭囲データ!$R$12:$W$16,4,TRUE)*$W91^2+VLOOKUP($W91,頭囲データ!$R$12:$W$16,5,TRUE)*$W91+VLOOKUP($W91,頭囲データ!$R$12:$W$16,6,TRUE)</f>
        <v>#N/A</v>
      </c>
      <c r="BA91" s="81" t="e">
        <f>VLOOKUP($W91,頭囲データ!$R$17:$W$18,3,TRUE)*$W91^3+VLOOKUP($W91,頭囲データ!$R$17:$W$18,4,TRUE)*$W91^2+VLOOKUP($W91,頭囲データ!$R$17:$W$18,5,TRUE)*$W91+VLOOKUP($W91,頭囲データ!$R$17:$W$18,6,TRUE)</f>
        <v>#N/A</v>
      </c>
      <c r="BB91" s="81" t="e">
        <f t="shared" si="81"/>
        <v>#N/A</v>
      </c>
      <c r="BC91" s="81" t="e">
        <f>VLOOKUP($W91,胸囲データ!$R$10:$W$11,3,TRUE)*$W91^3+VLOOKUP($W91,胸囲データ!$R$10:$W$11,4,TRUE)*$W91^2+VLOOKUP($W91,胸囲データ!$R$10:$W$11,5,TRUE)*$W91+VLOOKUP($W91,胸囲データ!$R$10:$W$11,6,TRUE)</f>
        <v>#N/A</v>
      </c>
      <c r="BD91" s="81" t="e">
        <f>VLOOKUP($W91,胸囲データ!$R$12:$W$16,3,TRUE)*$W91^3+VLOOKUP($W91,胸囲データ!$R$12:$W$16,4,TRUE)*$W91^2+VLOOKUP($W91,胸囲データ!$R$12:$W$16,5,TRUE)*$W91+VLOOKUP($W91,胸囲データ!$R$12:$W$16,6,TRUE)</f>
        <v>#N/A</v>
      </c>
      <c r="BE91" s="81" t="e">
        <f>VLOOKUP($W91,胸囲データ!$R$17:$W$18,3,TRUE)*$W91^3+VLOOKUP($W91,胸囲データ!$R$17:$W$18,4,TRUE)*$W91^2+VLOOKUP($W91,胸囲データ!$R$17:$W$18,5,TRUE)*$W91+VLOOKUP($W91,胸囲データ!$R$17:$W$18,6,TRUE)</f>
        <v>#N/A</v>
      </c>
    </row>
    <row r="92" spans="1:57" x14ac:dyDescent="0.15">
      <c r="A92" s="35"/>
      <c r="B92" s="36"/>
      <c r="C92" s="36"/>
      <c r="D92" s="49"/>
      <c r="E92" s="76"/>
      <c r="F92" s="51" t="str">
        <f t="shared" si="86"/>
        <v/>
      </c>
      <c r="G92" s="37" t="str">
        <f t="shared" si="82"/>
        <v/>
      </c>
      <c r="H92" s="38" t="str">
        <f>IF(ISERROR(W92),"",VLOOKUP(W92,成長曲線_データ!$D$4:$AC$214,3,TRUE))</f>
        <v/>
      </c>
      <c r="I92" s="39" t="str">
        <f t="shared" si="58"/>
        <v/>
      </c>
      <c r="J92" s="39" t="str">
        <f t="shared" si="59"/>
        <v/>
      </c>
      <c r="K92" s="39" t="str">
        <f t="shared" si="60"/>
        <v/>
      </c>
      <c r="L92" s="39" t="str">
        <f t="shared" si="32"/>
        <v/>
      </c>
      <c r="M92" s="39" t="str">
        <f t="shared" si="83"/>
        <v/>
      </c>
      <c r="N92" s="39" t="str">
        <f t="shared" si="84"/>
        <v/>
      </c>
      <c r="O92" s="40" t="str">
        <f t="shared" si="61"/>
        <v/>
      </c>
      <c r="P92" s="40" t="str">
        <f t="shared" si="62"/>
        <v/>
      </c>
      <c r="Q92" s="39" t="str">
        <f t="shared" si="63"/>
        <v/>
      </c>
      <c r="R92" s="39" t="str">
        <f t="shared" si="64"/>
        <v/>
      </c>
      <c r="S92" s="39" t="str">
        <f t="shared" si="85"/>
        <v/>
      </c>
      <c r="T92" s="41" t="str">
        <f t="shared" si="65"/>
        <v/>
      </c>
      <c r="V92" s="90"/>
      <c r="W92" s="79" t="e">
        <f t="shared" si="66"/>
        <v>#N/A</v>
      </c>
      <c r="X92" s="79" t="e">
        <f t="shared" si="67"/>
        <v>#N/A</v>
      </c>
      <c r="Y92" s="80" t="e">
        <f>IF(W92="","",VLOOKUP(W92,成長曲線_データ!$D$4:$AC$214,4,TRUE))</f>
        <v>#N/A</v>
      </c>
      <c r="Z92" s="80" t="e">
        <f>IF(W92="","",VLOOKUP(W92,成長曲線_データ!$D$4:$AC$214,12,TRUE))</f>
        <v>#N/A</v>
      </c>
      <c r="AA92" s="81" t="e">
        <f>IF(W92="","",VLOOKUP(W92,成長曲線_データ!$D$4:$AC$214,13,TRUE))</f>
        <v>#N/A</v>
      </c>
      <c r="AB92" s="94" t="e">
        <f t="shared" si="68"/>
        <v>#N/A</v>
      </c>
      <c r="AC92" s="82" t="e">
        <f>IF(W92&lt;0.5,NA(),VLOOKUP((W92+1/8),成長曲線_データ!$V$4:$AA$73,2,TRUE))</f>
        <v>#N/A</v>
      </c>
      <c r="AD92" s="82" t="e">
        <f>IF(W92&lt;1,NA(),VLOOKUP(W92,成長曲線_データ!$V$4:$AA$73,3,TRUE))</f>
        <v>#N/A</v>
      </c>
      <c r="AE92" s="82" t="e">
        <f>IF(W92&lt;=6.5,VLOOKUP(W92,頭囲データ!$C$10:$E$85,2,TRUE),NA())</f>
        <v>#N/A</v>
      </c>
      <c r="AF92" s="82" t="e">
        <f>IF(W92&lt;=6.5,VLOOKUP(W92,頭囲データ!$C$10:$E$85,3,TRUE),NA())</f>
        <v>#N/A</v>
      </c>
      <c r="AG92" s="89" t="str">
        <f>入力!F92&amp;"y"&amp;入力!G92&amp;"m"</f>
        <v>ym</v>
      </c>
      <c r="AH92" s="89" t="e">
        <f>IF(AND(入力!W92&gt;=1,入力!W92&lt;6,入力!B92&gt;=70,入力!B92&lt;=120),入力!B92,NA())</f>
        <v>#N/A</v>
      </c>
      <c r="AI92" s="89" t="e">
        <f>IF(AND(入力!W92&gt;=1,入力!W92&lt;6,入力!B92&gt;=70,入力!B92&lt;=120),入力!X92,NA())</f>
        <v>#N/A</v>
      </c>
      <c r="AJ92" s="89" t="e">
        <f>IF(AND(入力!W92&gt;=6,入力!B92&gt;=100,入力!B92&lt;=184),入力!B92,NA())</f>
        <v>#N/A</v>
      </c>
      <c r="AK92" s="89" t="e">
        <f>IF(AND(入力!W92&gt;=6,入力!B92&gt;=100,入力!B92&lt;=184),入力!X92,NA())</f>
        <v>#N/A</v>
      </c>
      <c r="AL92" s="82" t="e">
        <f t="shared" si="69"/>
        <v>#N/A</v>
      </c>
      <c r="AM92" s="82"/>
      <c r="AN92" s="80" t="e">
        <f t="shared" si="70"/>
        <v>#N/A</v>
      </c>
      <c r="AO92" s="80" t="e">
        <f t="shared" si="71"/>
        <v>#N/A</v>
      </c>
      <c r="AP92" s="81" t="e">
        <f t="shared" si="72"/>
        <v>#N/A</v>
      </c>
      <c r="AQ92" s="81" t="e">
        <f t="shared" si="73"/>
        <v>#VALUE!</v>
      </c>
      <c r="AR92" s="81" t="e">
        <f t="shared" si="74"/>
        <v>#N/A</v>
      </c>
      <c r="AS92" s="81" t="e">
        <f t="shared" si="75"/>
        <v>#N/A</v>
      </c>
      <c r="AT92" s="81" t="e">
        <f t="shared" si="76"/>
        <v>#N/A</v>
      </c>
      <c r="AU92" s="81" t="e">
        <f t="shared" si="77"/>
        <v>#N/A</v>
      </c>
      <c r="AV92" s="81" t="e">
        <f t="shared" si="78"/>
        <v>#N/A</v>
      </c>
      <c r="AW92" s="81" t="e">
        <f t="shared" si="79"/>
        <v>#N/A</v>
      </c>
      <c r="AX92" s="81" t="e">
        <f t="shared" si="80"/>
        <v>#N/A</v>
      </c>
      <c r="AY92" s="81" t="e">
        <f>VLOOKUP($W92,頭囲データ!$R$10:$W$11,3,TRUE)*$W92^3+VLOOKUP($W92,頭囲データ!$R$10:$W$11,4,TRUE)*$W92^2+VLOOKUP($W92,頭囲データ!$R$10:$W$11,5,TRUE)*$W92+VLOOKUP($W92,頭囲データ!$R$10:$W$11,6,TRUE)</f>
        <v>#N/A</v>
      </c>
      <c r="AZ92" s="81" t="e">
        <f>VLOOKUP($W92,頭囲データ!$R$12:$W$16,3,TRUE)*$W92^3+VLOOKUP($W92,頭囲データ!$R$12:$W$16,4,TRUE)*$W92^2+VLOOKUP($W92,頭囲データ!$R$12:$W$16,5,TRUE)*$W92+VLOOKUP($W92,頭囲データ!$R$12:$W$16,6,TRUE)</f>
        <v>#N/A</v>
      </c>
      <c r="BA92" s="81" t="e">
        <f>VLOOKUP($W92,頭囲データ!$R$17:$W$18,3,TRUE)*$W92^3+VLOOKUP($W92,頭囲データ!$R$17:$W$18,4,TRUE)*$W92^2+VLOOKUP($W92,頭囲データ!$R$17:$W$18,5,TRUE)*$W92+VLOOKUP($W92,頭囲データ!$R$17:$W$18,6,TRUE)</f>
        <v>#N/A</v>
      </c>
      <c r="BB92" s="81" t="e">
        <f t="shared" si="81"/>
        <v>#N/A</v>
      </c>
      <c r="BC92" s="81" t="e">
        <f>VLOOKUP($W92,胸囲データ!$R$10:$W$11,3,TRUE)*$W92^3+VLOOKUP($W92,胸囲データ!$R$10:$W$11,4,TRUE)*$W92^2+VLOOKUP($W92,胸囲データ!$R$10:$W$11,5,TRUE)*$W92+VLOOKUP($W92,胸囲データ!$R$10:$W$11,6,TRUE)</f>
        <v>#N/A</v>
      </c>
      <c r="BD92" s="81" t="e">
        <f>VLOOKUP($W92,胸囲データ!$R$12:$W$16,3,TRUE)*$W92^3+VLOOKUP($W92,胸囲データ!$R$12:$W$16,4,TRUE)*$W92^2+VLOOKUP($W92,胸囲データ!$R$12:$W$16,5,TRUE)*$W92+VLOOKUP($W92,胸囲データ!$R$12:$W$16,6,TRUE)</f>
        <v>#N/A</v>
      </c>
      <c r="BE92" s="81" t="e">
        <f>VLOOKUP($W92,胸囲データ!$R$17:$W$18,3,TRUE)*$W92^3+VLOOKUP($W92,胸囲データ!$R$17:$W$18,4,TRUE)*$W92^2+VLOOKUP($W92,胸囲データ!$R$17:$W$18,5,TRUE)*$W92+VLOOKUP($W92,胸囲データ!$R$17:$W$18,6,TRUE)</f>
        <v>#N/A</v>
      </c>
    </row>
    <row r="93" spans="1:57" x14ac:dyDescent="0.15">
      <c r="A93" s="35"/>
      <c r="B93" s="36"/>
      <c r="C93" s="36"/>
      <c r="D93" s="49"/>
      <c r="E93" s="76"/>
      <c r="F93" s="51" t="str">
        <f t="shared" si="86"/>
        <v/>
      </c>
      <c r="G93" s="37" t="str">
        <f t="shared" si="82"/>
        <v/>
      </c>
      <c r="H93" s="38" t="str">
        <f>IF(ISERROR(W93),"",VLOOKUP(W93,成長曲線_データ!$D$4:$AC$214,3,TRUE))</f>
        <v/>
      </c>
      <c r="I93" s="39" t="str">
        <f t="shared" si="58"/>
        <v/>
      </c>
      <c r="J93" s="39" t="str">
        <f t="shared" si="59"/>
        <v/>
      </c>
      <c r="K93" s="39" t="str">
        <f t="shared" si="60"/>
        <v/>
      </c>
      <c r="L93" s="39" t="str">
        <f t="shared" si="32"/>
        <v/>
      </c>
      <c r="M93" s="39" t="str">
        <f t="shared" si="83"/>
        <v/>
      </c>
      <c r="N93" s="39" t="str">
        <f t="shared" si="84"/>
        <v/>
      </c>
      <c r="O93" s="40" t="str">
        <f t="shared" si="61"/>
        <v/>
      </c>
      <c r="P93" s="40" t="str">
        <f t="shared" si="62"/>
        <v/>
      </c>
      <c r="Q93" s="39" t="str">
        <f t="shared" si="63"/>
        <v/>
      </c>
      <c r="R93" s="39" t="str">
        <f t="shared" si="64"/>
        <v/>
      </c>
      <c r="S93" s="39" t="str">
        <f t="shared" si="85"/>
        <v/>
      </c>
      <c r="T93" s="41" t="str">
        <f t="shared" si="65"/>
        <v/>
      </c>
      <c r="V93" s="90"/>
      <c r="W93" s="79" t="e">
        <f t="shared" si="66"/>
        <v>#N/A</v>
      </c>
      <c r="X93" s="79" t="e">
        <f t="shared" si="67"/>
        <v>#N/A</v>
      </c>
      <c r="Y93" s="80" t="e">
        <f>IF(W93="","",VLOOKUP(W93,成長曲線_データ!$D$4:$AC$214,4,TRUE))</f>
        <v>#N/A</v>
      </c>
      <c r="Z93" s="80" t="e">
        <f>IF(W93="","",VLOOKUP(W93,成長曲線_データ!$D$4:$AC$214,12,TRUE))</f>
        <v>#N/A</v>
      </c>
      <c r="AA93" s="81" t="e">
        <f>IF(W93="","",VLOOKUP(W93,成長曲線_データ!$D$4:$AC$214,13,TRUE))</f>
        <v>#N/A</v>
      </c>
      <c r="AB93" s="94" t="e">
        <f t="shared" si="68"/>
        <v>#N/A</v>
      </c>
      <c r="AC93" s="82" t="e">
        <f>IF(W93&lt;0.5,NA(),VLOOKUP((W93+1/8),成長曲線_データ!$V$4:$AA$73,2,TRUE))</f>
        <v>#N/A</v>
      </c>
      <c r="AD93" s="82" t="e">
        <f>IF(W93&lt;1,NA(),VLOOKUP(W93,成長曲線_データ!$V$4:$AA$73,3,TRUE))</f>
        <v>#N/A</v>
      </c>
      <c r="AE93" s="82" t="e">
        <f>IF(W93&lt;=6.5,VLOOKUP(W93,頭囲データ!$C$10:$E$85,2,TRUE),NA())</f>
        <v>#N/A</v>
      </c>
      <c r="AF93" s="82" t="e">
        <f>IF(W93&lt;=6.5,VLOOKUP(W93,頭囲データ!$C$10:$E$85,3,TRUE),NA())</f>
        <v>#N/A</v>
      </c>
      <c r="AG93" s="89" t="str">
        <f>入力!F93&amp;"y"&amp;入力!G93&amp;"m"</f>
        <v>ym</v>
      </c>
      <c r="AH93" s="89" t="e">
        <f>IF(AND(入力!W93&gt;=1,入力!W93&lt;6,入力!B93&gt;=70,入力!B93&lt;=120),入力!B93,NA())</f>
        <v>#N/A</v>
      </c>
      <c r="AI93" s="89" t="e">
        <f>IF(AND(入力!W93&gt;=1,入力!W93&lt;6,入力!B93&gt;=70,入力!B93&lt;=120),入力!X93,NA())</f>
        <v>#N/A</v>
      </c>
      <c r="AJ93" s="89" t="e">
        <f>IF(AND(入力!W93&gt;=6,入力!B93&gt;=100,入力!B93&lt;=184),入力!B93,NA())</f>
        <v>#N/A</v>
      </c>
      <c r="AK93" s="89" t="e">
        <f>IF(AND(入力!W93&gt;=6,入力!B93&gt;=100,入力!B93&lt;=184),入力!X93,NA())</f>
        <v>#N/A</v>
      </c>
      <c r="AL93" s="82" t="e">
        <f t="shared" si="69"/>
        <v>#N/A</v>
      </c>
      <c r="AM93" s="82"/>
      <c r="AN93" s="80" t="e">
        <f t="shared" si="70"/>
        <v>#N/A</v>
      </c>
      <c r="AO93" s="80" t="e">
        <f t="shared" si="71"/>
        <v>#N/A</v>
      </c>
      <c r="AP93" s="81" t="e">
        <f t="shared" si="72"/>
        <v>#N/A</v>
      </c>
      <c r="AQ93" s="81" t="e">
        <f t="shared" si="73"/>
        <v>#VALUE!</v>
      </c>
      <c r="AR93" s="81" t="e">
        <f t="shared" si="74"/>
        <v>#N/A</v>
      </c>
      <c r="AS93" s="81" t="e">
        <f t="shared" si="75"/>
        <v>#N/A</v>
      </c>
      <c r="AT93" s="81" t="e">
        <f t="shared" si="76"/>
        <v>#N/A</v>
      </c>
      <c r="AU93" s="81" t="e">
        <f t="shared" si="77"/>
        <v>#N/A</v>
      </c>
      <c r="AV93" s="81" t="e">
        <f t="shared" si="78"/>
        <v>#N/A</v>
      </c>
      <c r="AW93" s="81" t="e">
        <f t="shared" si="79"/>
        <v>#N/A</v>
      </c>
      <c r="AX93" s="81" t="e">
        <f t="shared" si="80"/>
        <v>#N/A</v>
      </c>
      <c r="AY93" s="81" t="e">
        <f>VLOOKUP($W93,頭囲データ!$R$10:$W$11,3,TRUE)*$W93^3+VLOOKUP($W93,頭囲データ!$R$10:$W$11,4,TRUE)*$W93^2+VLOOKUP($W93,頭囲データ!$R$10:$W$11,5,TRUE)*$W93+VLOOKUP($W93,頭囲データ!$R$10:$W$11,6,TRUE)</f>
        <v>#N/A</v>
      </c>
      <c r="AZ93" s="81" t="e">
        <f>VLOOKUP($W93,頭囲データ!$R$12:$W$16,3,TRUE)*$W93^3+VLOOKUP($W93,頭囲データ!$R$12:$W$16,4,TRUE)*$W93^2+VLOOKUP($W93,頭囲データ!$R$12:$W$16,5,TRUE)*$W93+VLOOKUP($W93,頭囲データ!$R$12:$W$16,6,TRUE)</f>
        <v>#N/A</v>
      </c>
      <c r="BA93" s="81" t="e">
        <f>VLOOKUP($W93,頭囲データ!$R$17:$W$18,3,TRUE)*$W93^3+VLOOKUP($W93,頭囲データ!$R$17:$W$18,4,TRUE)*$W93^2+VLOOKUP($W93,頭囲データ!$R$17:$W$18,5,TRUE)*$W93+VLOOKUP($W93,頭囲データ!$R$17:$W$18,6,TRUE)</f>
        <v>#N/A</v>
      </c>
      <c r="BB93" s="81" t="e">
        <f t="shared" si="81"/>
        <v>#N/A</v>
      </c>
      <c r="BC93" s="81" t="e">
        <f>VLOOKUP($W93,胸囲データ!$R$10:$W$11,3,TRUE)*$W93^3+VLOOKUP($W93,胸囲データ!$R$10:$W$11,4,TRUE)*$W93^2+VLOOKUP($W93,胸囲データ!$R$10:$W$11,5,TRUE)*$W93+VLOOKUP($W93,胸囲データ!$R$10:$W$11,6,TRUE)</f>
        <v>#N/A</v>
      </c>
      <c r="BD93" s="81" t="e">
        <f>VLOOKUP($W93,胸囲データ!$R$12:$W$16,3,TRUE)*$W93^3+VLOOKUP($W93,胸囲データ!$R$12:$W$16,4,TRUE)*$W93^2+VLOOKUP($W93,胸囲データ!$R$12:$W$16,5,TRUE)*$W93+VLOOKUP($W93,胸囲データ!$R$12:$W$16,6,TRUE)</f>
        <v>#N/A</v>
      </c>
      <c r="BE93" s="81" t="e">
        <f>VLOOKUP($W93,胸囲データ!$R$17:$W$18,3,TRUE)*$W93^3+VLOOKUP($W93,胸囲データ!$R$17:$W$18,4,TRUE)*$W93^2+VLOOKUP($W93,胸囲データ!$R$17:$W$18,5,TRUE)*$W93+VLOOKUP($W93,胸囲データ!$R$17:$W$18,6,TRUE)</f>
        <v>#N/A</v>
      </c>
    </row>
    <row r="94" spans="1:57" x14ac:dyDescent="0.15">
      <c r="A94" s="35"/>
      <c r="B94" s="36"/>
      <c r="C94" s="36"/>
      <c r="D94" s="49"/>
      <c r="E94" s="76"/>
      <c r="F94" s="51" t="str">
        <f t="shared" si="86"/>
        <v/>
      </c>
      <c r="G94" s="37" t="str">
        <f t="shared" si="82"/>
        <v/>
      </c>
      <c r="H94" s="38" t="str">
        <f>IF(ISERROR(W94),"",VLOOKUP(W94,成長曲線_データ!$D$4:$AC$214,3,TRUE))</f>
        <v/>
      </c>
      <c r="I94" s="39" t="str">
        <f t="shared" si="58"/>
        <v/>
      </c>
      <c r="J94" s="39" t="str">
        <f t="shared" si="59"/>
        <v/>
      </c>
      <c r="K94" s="39" t="str">
        <f t="shared" si="60"/>
        <v/>
      </c>
      <c r="L94" s="39" t="str">
        <f t="shared" ref="L94:L156" si="87">IF(OR(ISERROR(AA94),ISNA(X94)),"",(X94-Z94)/AA94)</f>
        <v/>
      </c>
      <c r="M94" s="39" t="str">
        <f t="shared" si="83"/>
        <v/>
      </c>
      <c r="N94" s="39" t="str">
        <f t="shared" si="84"/>
        <v/>
      </c>
      <c r="O94" s="40" t="str">
        <f t="shared" si="61"/>
        <v/>
      </c>
      <c r="P94" s="40" t="str">
        <f t="shared" si="62"/>
        <v/>
      </c>
      <c r="Q94" s="39" t="str">
        <f t="shared" si="63"/>
        <v/>
      </c>
      <c r="R94" s="39" t="str">
        <f t="shared" si="64"/>
        <v/>
      </c>
      <c r="S94" s="39" t="str">
        <f t="shared" si="85"/>
        <v/>
      </c>
      <c r="T94" s="41" t="str">
        <f t="shared" si="65"/>
        <v/>
      </c>
      <c r="V94" s="90"/>
      <c r="W94" s="79" t="e">
        <f t="shared" si="66"/>
        <v>#N/A</v>
      </c>
      <c r="X94" s="79" t="e">
        <f t="shared" si="67"/>
        <v>#N/A</v>
      </c>
      <c r="Y94" s="80" t="e">
        <f>IF(W94="","",VLOOKUP(W94,成長曲線_データ!$D$4:$AC$214,4,TRUE))</f>
        <v>#N/A</v>
      </c>
      <c r="Z94" s="80" t="e">
        <f>IF(W94="","",VLOOKUP(W94,成長曲線_データ!$D$4:$AC$214,12,TRUE))</f>
        <v>#N/A</v>
      </c>
      <c r="AA94" s="81" t="e">
        <f>IF(W94="","",VLOOKUP(W94,成長曲線_データ!$D$4:$AC$214,13,TRUE))</f>
        <v>#N/A</v>
      </c>
      <c r="AB94" s="94" t="e">
        <f t="shared" si="68"/>
        <v>#N/A</v>
      </c>
      <c r="AC94" s="82" t="e">
        <f>IF(W94&lt;0.5,NA(),VLOOKUP((W94+1/8),成長曲線_データ!$V$4:$AA$73,2,TRUE))</f>
        <v>#N/A</v>
      </c>
      <c r="AD94" s="82" t="e">
        <f>IF(W94&lt;1,NA(),VLOOKUP(W94,成長曲線_データ!$V$4:$AA$73,3,TRUE))</f>
        <v>#N/A</v>
      </c>
      <c r="AE94" s="82" t="e">
        <f>IF(W94&lt;=6.5,VLOOKUP(W94,頭囲データ!$C$10:$E$85,2,TRUE),NA())</f>
        <v>#N/A</v>
      </c>
      <c r="AF94" s="82" t="e">
        <f>IF(W94&lt;=6.5,VLOOKUP(W94,頭囲データ!$C$10:$E$85,3,TRUE),NA())</f>
        <v>#N/A</v>
      </c>
      <c r="AG94" s="89" t="str">
        <f>入力!F94&amp;"y"&amp;入力!G94&amp;"m"</f>
        <v>ym</v>
      </c>
      <c r="AH94" s="89" t="e">
        <f>IF(AND(入力!W94&gt;=1,入力!W94&lt;6,入力!B94&gt;=70,入力!B94&lt;=120),入力!B94,NA())</f>
        <v>#N/A</v>
      </c>
      <c r="AI94" s="89" t="e">
        <f>IF(AND(入力!W94&gt;=1,入力!W94&lt;6,入力!B94&gt;=70,入力!B94&lt;=120),入力!X94,NA())</f>
        <v>#N/A</v>
      </c>
      <c r="AJ94" s="89" t="e">
        <f>IF(AND(入力!W94&gt;=6,入力!B94&gt;=100,入力!B94&lt;=184),入力!B94,NA())</f>
        <v>#N/A</v>
      </c>
      <c r="AK94" s="89" t="e">
        <f>IF(AND(入力!W94&gt;=6,入力!B94&gt;=100,入力!B94&lt;=184),入力!X94,NA())</f>
        <v>#N/A</v>
      </c>
      <c r="AL94" s="82" t="e">
        <f t="shared" si="69"/>
        <v>#N/A</v>
      </c>
      <c r="AM94" s="82"/>
      <c r="AN94" s="80" t="e">
        <f t="shared" si="70"/>
        <v>#N/A</v>
      </c>
      <c r="AO94" s="80" t="e">
        <f t="shared" si="71"/>
        <v>#N/A</v>
      </c>
      <c r="AP94" s="81" t="e">
        <f t="shared" si="72"/>
        <v>#N/A</v>
      </c>
      <c r="AQ94" s="81" t="e">
        <f t="shared" si="73"/>
        <v>#VALUE!</v>
      </c>
      <c r="AR94" s="81" t="e">
        <f t="shared" si="74"/>
        <v>#N/A</v>
      </c>
      <c r="AS94" s="81" t="e">
        <f t="shared" si="75"/>
        <v>#N/A</v>
      </c>
      <c r="AT94" s="81" t="e">
        <f t="shared" si="76"/>
        <v>#N/A</v>
      </c>
      <c r="AU94" s="81" t="e">
        <f t="shared" si="77"/>
        <v>#N/A</v>
      </c>
      <c r="AV94" s="81" t="e">
        <f t="shared" si="78"/>
        <v>#N/A</v>
      </c>
      <c r="AW94" s="81" t="e">
        <f t="shared" si="79"/>
        <v>#N/A</v>
      </c>
      <c r="AX94" s="81" t="e">
        <f t="shared" si="80"/>
        <v>#N/A</v>
      </c>
      <c r="AY94" s="81" t="e">
        <f>VLOOKUP($W94,頭囲データ!$R$10:$W$11,3,TRUE)*$W94^3+VLOOKUP($W94,頭囲データ!$R$10:$W$11,4,TRUE)*$W94^2+VLOOKUP($W94,頭囲データ!$R$10:$W$11,5,TRUE)*$W94+VLOOKUP($W94,頭囲データ!$R$10:$W$11,6,TRUE)</f>
        <v>#N/A</v>
      </c>
      <c r="AZ94" s="81" t="e">
        <f>VLOOKUP($W94,頭囲データ!$R$12:$W$16,3,TRUE)*$W94^3+VLOOKUP($W94,頭囲データ!$R$12:$W$16,4,TRUE)*$W94^2+VLOOKUP($W94,頭囲データ!$R$12:$W$16,5,TRUE)*$W94+VLOOKUP($W94,頭囲データ!$R$12:$W$16,6,TRUE)</f>
        <v>#N/A</v>
      </c>
      <c r="BA94" s="81" t="e">
        <f>VLOOKUP($W94,頭囲データ!$R$17:$W$18,3,TRUE)*$W94^3+VLOOKUP($W94,頭囲データ!$R$17:$W$18,4,TRUE)*$W94^2+VLOOKUP($W94,頭囲データ!$R$17:$W$18,5,TRUE)*$W94+VLOOKUP($W94,頭囲データ!$R$17:$W$18,6,TRUE)</f>
        <v>#N/A</v>
      </c>
      <c r="BB94" s="81" t="e">
        <f t="shared" si="81"/>
        <v>#N/A</v>
      </c>
      <c r="BC94" s="81" t="e">
        <f>VLOOKUP($W94,胸囲データ!$R$10:$W$11,3,TRUE)*$W94^3+VLOOKUP($W94,胸囲データ!$R$10:$W$11,4,TRUE)*$W94^2+VLOOKUP($W94,胸囲データ!$R$10:$W$11,5,TRUE)*$W94+VLOOKUP($W94,胸囲データ!$R$10:$W$11,6,TRUE)</f>
        <v>#N/A</v>
      </c>
      <c r="BD94" s="81" t="e">
        <f>VLOOKUP($W94,胸囲データ!$R$12:$W$16,3,TRUE)*$W94^3+VLOOKUP($W94,胸囲データ!$R$12:$W$16,4,TRUE)*$W94^2+VLOOKUP($W94,胸囲データ!$R$12:$W$16,5,TRUE)*$W94+VLOOKUP($W94,胸囲データ!$R$12:$W$16,6,TRUE)</f>
        <v>#N/A</v>
      </c>
      <c r="BE94" s="81" t="e">
        <f>VLOOKUP($W94,胸囲データ!$R$17:$W$18,3,TRUE)*$W94^3+VLOOKUP($W94,胸囲データ!$R$17:$W$18,4,TRUE)*$W94^2+VLOOKUP($W94,胸囲データ!$R$17:$W$18,5,TRUE)*$W94+VLOOKUP($W94,胸囲データ!$R$17:$W$18,6,TRUE)</f>
        <v>#N/A</v>
      </c>
    </row>
    <row r="95" spans="1:57" x14ac:dyDescent="0.15">
      <c r="A95" s="35"/>
      <c r="B95" s="36"/>
      <c r="C95" s="36"/>
      <c r="D95" s="49"/>
      <c r="E95" s="76"/>
      <c r="F95" s="51" t="str">
        <f t="shared" si="86"/>
        <v/>
      </c>
      <c r="G95" s="37" t="str">
        <f t="shared" si="82"/>
        <v/>
      </c>
      <c r="H95" s="38" t="str">
        <f>IF(ISERROR(W95),"",VLOOKUP(W95,成長曲線_データ!$D$4:$AC$214,3,TRUE))</f>
        <v/>
      </c>
      <c r="I95" s="39" t="str">
        <f t="shared" si="58"/>
        <v/>
      </c>
      <c r="J95" s="39" t="str">
        <f t="shared" si="59"/>
        <v/>
      </c>
      <c r="K95" s="39" t="str">
        <f t="shared" si="60"/>
        <v/>
      </c>
      <c r="L95" s="39" t="str">
        <f t="shared" si="87"/>
        <v/>
      </c>
      <c r="M95" s="39" t="str">
        <f t="shared" si="83"/>
        <v/>
      </c>
      <c r="N95" s="39" t="str">
        <f t="shared" si="84"/>
        <v/>
      </c>
      <c r="O95" s="40" t="str">
        <f t="shared" si="61"/>
        <v/>
      </c>
      <c r="P95" s="40" t="str">
        <f t="shared" si="62"/>
        <v/>
      </c>
      <c r="Q95" s="39" t="str">
        <f t="shared" si="63"/>
        <v/>
      </c>
      <c r="R95" s="39" t="str">
        <f t="shared" si="64"/>
        <v/>
      </c>
      <c r="S95" s="39" t="str">
        <f t="shared" si="85"/>
        <v/>
      </c>
      <c r="T95" s="41" t="str">
        <f t="shared" si="65"/>
        <v/>
      </c>
      <c r="V95" s="90"/>
      <c r="W95" s="79" t="e">
        <f t="shared" si="66"/>
        <v>#N/A</v>
      </c>
      <c r="X95" s="79" t="e">
        <f t="shared" si="67"/>
        <v>#N/A</v>
      </c>
      <c r="Y95" s="80" t="e">
        <f>IF(W95="","",VLOOKUP(W95,成長曲線_データ!$D$4:$AC$214,4,TRUE))</f>
        <v>#N/A</v>
      </c>
      <c r="Z95" s="80" t="e">
        <f>IF(W95="","",VLOOKUP(W95,成長曲線_データ!$D$4:$AC$214,12,TRUE))</f>
        <v>#N/A</v>
      </c>
      <c r="AA95" s="81" t="e">
        <f>IF(W95="","",VLOOKUP(W95,成長曲線_データ!$D$4:$AC$214,13,TRUE))</f>
        <v>#N/A</v>
      </c>
      <c r="AB95" s="94" t="e">
        <f t="shared" si="68"/>
        <v>#N/A</v>
      </c>
      <c r="AC95" s="82" t="e">
        <f>IF(W95&lt;0.5,NA(),VLOOKUP((W95+1/8),成長曲線_データ!$V$4:$AA$73,2,TRUE))</f>
        <v>#N/A</v>
      </c>
      <c r="AD95" s="82" t="e">
        <f>IF(W95&lt;1,NA(),VLOOKUP(W95,成長曲線_データ!$V$4:$AA$73,3,TRUE))</f>
        <v>#N/A</v>
      </c>
      <c r="AE95" s="82" t="e">
        <f>IF(W95&lt;=6.5,VLOOKUP(W95,頭囲データ!$C$10:$E$85,2,TRUE),NA())</f>
        <v>#N/A</v>
      </c>
      <c r="AF95" s="82" t="e">
        <f>IF(W95&lt;=6.5,VLOOKUP(W95,頭囲データ!$C$10:$E$85,3,TRUE),NA())</f>
        <v>#N/A</v>
      </c>
      <c r="AG95" s="89" t="str">
        <f>入力!F95&amp;"y"&amp;入力!G95&amp;"m"</f>
        <v>ym</v>
      </c>
      <c r="AH95" s="89" t="e">
        <f>IF(AND(入力!W95&gt;=1,入力!W95&lt;6,入力!B95&gt;=70,入力!B95&lt;=120),入力!B95,NA())</f>
        <v>#N/A</v>
      </c>
      <c r="AI95" s="89" t="e">
        <f>IF(AND(入力!W95&gt;=1,入力!W95&lt;6,入力!B95&gt;=70,入力!B95&lt;=120),入力!X95,NA())</f>
        <v>#N/A</v>
      </c>
      <c r="AJ95" s="89" t="e">
        <f>IF(AND(入力!W95&gt;=6,入力!B95&gt;=100,入力!B95&lt;=184),入力!B95,NA())</f>
        <v>#N/A</v>
      </c>
      <c r="AK95" s="89" t="e">
        <f>IF(AND(入力!W95&gt;=6,入力!B95&gt;=100,入力!B95&lt;=184),入力!X95,NA())</f>
        <v>#N/A</v>
      </c>
      <c r="AL95" s="82" t="e">
        <f t="shared" si="69"/>
        <v>#N/A</v>
      </c>
      <c r="AM95" s="82"/>
      <c r="AN95" s="80" t="e">
        <f t="shared" si="70"/>
        <v>#N/A</v>
      </c>
      <c r="AO95" s="80" t="e">
        <f t="shared" si="71"/>
        <v>#N/A</v>
      </c>
      <c r="AP95" s="81" t="e">
        <f t="shared" si="72"/>
        <v>#N/A</v>
      </c>
      <c r="AQ95" s="81" t="e">
        <f t="shared" si="73"/>
        <v>#VALUE!</v>
      </c>
      <c r="AR95" s="81" t="e">
        <f t="shared" si="74"/>
        <v>#N/A</v>
      </c>
      <c r="AS95" s="81" t="e">
        <f t="shared" si="75"/>
        <v>#N/A</v>
      </c>
      <c r="AT95" s="81" t="e">
        <f t="shared" si="76"/>
        <v>#N/A</v>
      </c>
      <c r="AU95" s="81" t="e">
        <f t="shared" si="77"/>
        <v>#N/A</v>
      </c>
      <c r="AV95" s="81" t="e">
        <f t="shared" si="78"/>
        <v>#N/A</v>
      </c>
      <c r="AW95" s="81" t="e">
        <f t="shared" si="79"/>
        <v>#N/A</v>
      </c>
      <c r="AX95" s="81" t="e">
        <f t="shared" si="80"/>
        <v>#N/A</v>
      </c>
      <c r="AY95" s="81" t="e">
        <f>VLOOKUP($W95,頭囲データ!$R$10:$W$11,3,TRUE)*$W95^3+VLOOKUP($W95,頭囲データ!$R$10:$W$11,4,TRUE)*$W95^2+VLOOKUP($W95,頭囲データ!$R$10:$W$11,5,TRUE)*$W95+VLOOKUP($W95,頭囲データ!$R$10:$W$11,6,TRUE)</f>
        <v>#N/A</v>
      </c>
      <c r="AZ95" s="81" t="e">
        <f>VLOOKUP($W95,頭囲データ!$R$12:$W$16,3,TRUE)*$W95^3+VLOOKUP($W95,頭囲データ!$R$12:$W$16,4,TRUE)*$W95^2+VLOOKUP($W95,頭囲データ!$R$12:$W$16,5,TRUE)*$W95+VLOOKUP($W95,頭囲データ!$R$12:$W$16,6,TRUE)</f>
        <v>#N/A</v>
      </c>
      <c r="BA95" s="81" t="e">
        <f>VLOOKUP($W95,頭囲データ!$R$17:$W$18,3,TRUE)*$W95^3+VLOOKUP($W95,頭囲データ!$R$17:$W$18,4,TRUE)*$W95^2+VLOOKUP($W95,頭囲データ!$R$17:$W$18,5,TRUE)*$W95+VLOOKUP($W95,頭囲データ!$R$17:$W$18,6,TRUE)</f>
        <v>#N/A</v>
      </c>
      <c r="BB95" s="81" t="e">
        <f t="shared" si="81"/>
        <v>#N/A</v>
      </c>
      <c r="BC95" s="81" t="e">
        <f>VLOOKUP($W95,胸囲データ!$R$10:$W$11,3,TRUE)*$W95^3+VLOOKUP($W95,胸囲データ!$R$10:$W$11,4,TRUE)*$W95^2+VLOOKUP($W95,胸囲データ!$R$10:$W$11,5,TRUE)*$W95+VLOOKUP($W95,胸囲データ!$R$10:$W$11,6,TRUE)</f>
        <v>#N/A</v>
      </c>
      <c r="BD95" s="81" t="e">
        <f>VLOOKUP($W95,胸囲データ!$R$12:$W$16,3,TRUE)*$W95^3+VLOOKUP($W95,胸囲データ!$R$12:$W$16,4,TRUE)*$W95^2+VLOOKUP($W95,胸囲データ!$R$12:$W$16,5,TRUE)*$W95+VLOOKUP($W95,胸囲データ!$R$12:$W$16,6,TRUE)</f>
        <v>#N/A</v>
      </c>
      <c r="BE95" s="81" t="e">
        <f>VLOOKUP($W95,胸囲データ!$R$17:$W$18,3,TRUE)*$W95^3+VLOOKUP($W95,胸囲データ!$R$17:$W$18,4,TRUE)*$W95^2+VLOOKUP($W95,胸囲データ!$R$17:$W$18,5,TRUE)*$W95+VLOOKUP($W95,胸囲データ!$R$17:$W$18,6,TRUE)</f>
        <v>#N/A</v>
      </c>
    </row>
    <row r="96" spans="1:57" x14ac:dyDescent="0.15">
      <c r="A96" s="35"/>
      <c r="B96" s="36"/>
      <c r="C96" s="36"/>
      <c r="D96" s="49"/>
      <c r="E96" s="76"/>
      <c r="F96" s="51" t="str">
        <f t="shared" si="86"/>
        <v/>
      </c>
      <c r="G96" s="37" t="str">
        <f t="shared" si="82"/>
        <v/>
      </c>
      <c r="H96" s="38" t="str">
        <f>IF(ISERROR(W96),"",VLOOKUP(W96,成長曲線_データ!$D$4:$AC$214,3,TRUE))</f>
        <v/>
      </c>
      <c r="I96" s="39" t="str">
        <f t="shared" si="58"/>
        <v/>
      </c>
      <c r="J96" s="39" t="str">
        <f t="shared" si="59"/>
        <v/>
      </c>
      <c r="K96" s="39" t="str">
        <f t="shared" si="60"/>
        <v/>
      </c>
      <c r="L96" s="39" t="str">
        <f t="shared" si="87"/>
        <v/>
      </c>
      <c r="M96" s="39" t="str">
        <f t="shared" si="83"/>
        <v/>
      </c>
      <c r="N96" s="39" t="str">
        <f t="shared" si="84"/>
        <v/>
      </c>
      <c r="O96" s="40" t="str">
        <f t="shared" si="61"/>
        <v/>
      </c>
      <c r="P96" s="40" t="str">
        <f t="shared" si="62"/>
        <v/>
      </c>
      <c r="Q96" s="39" t="str">
        <f t="shared" si="63"/>
        <v/>
      </c>
      <c r="R96" s="39" t="str">
        <f t="shared" si="64"/>
        <v/>
      </c>
      <c r="S96" s="39" t="str">
        <f t="shared" si="85"/>
        <v/>
      </c>
      <c r="T96" s="41" t="str">
        <f t="shared" si="65"/>
        <v/>
      </c>
      <c r="V96" s="90"/>
      <c r="W96" s="79" t="e">
        <f t="shared" si="66"/>
        <v>#N/A</v>
      </c>
      <c r="X96" s="79" t="e">
        <f t="shared" si="67"/>
        <v>#N/A</v>
      </c>
      <c r="Y96" s="80" t="e">
        <f>IF(W96="","",VLOOKUP(W96,成長曲線_データ!$D$4:$AC$214,4,TRUE))</f>
        <v>#N/A</v>
      </c>
      <c r="Z96" s="80" t="e">
        <f>IF(W96="","",VLOOKUP(W96,成長曲線_データ!$D$4:$AC$214,12,TRUE))</f>
        <v>#N/A</v>
      </c>
      <c r="AA96" s="81" t="e">
        <f>IF(W96="","",VLOOKUP(W96,成長曲線_データ!$D$4:$AC$214,13,TRUE))</f>
        <v>#N/A</v>
      </c>
      <c r="AB96" s="94" t="e">
        <f t="shared" si="68"/>
        <v>#N/A</v>
      </c>
      <c r="AC96" s="82" t="e">
        <f>IF(W96&lt;0.5,NA(),VLOOKUP((W96+1/8),成長曲線_データ!$V$4:$AA$73,2,TRUE))</f>
        <v>#N/A</v>
      </c>
      <c r="AD96" s="82" t="e">
        <f>IF(W96&lt;1,NA(),VLOOKUP(W96,成長曲線_データ!$V$4:$AA$73,3,TRUE))</f>
        <v>#N/A</v>
      </c>
      <c r="AE96" s="82" t="e">
        <f>IF(W96&lt;=6.5,VLOOKUP(W96,頭囲データ!$C$10:$E$85,2,TRUE),NA())</f>
        <v>#N/A</v>
      </c>
      <c r="AF96" s="82" t="e">
        <f>IF(W96&lt;=6.5,VLOOKUP(W96,頭囲データ!$C$10:$E$85,3,TRUE),NA())</f>
        <v>#N/A</v>
      </c>
      <c r="AG96" s="89" t="str">
        <f>入力!F96&amp;"y"&amp;入力!G96&amp;"m"</f>
        <v>ym</v>
      </c>
      <c r="AH96" s="89" t="e">
        <f>IF(AND(入力!W96&gt;=1,入力!W96&lt;6,入力!B96&gt;=70,入力!B96&lt;=120),入力!B96,NA())</f>
        <v>#N/A</v>
      </c>
      <c r="AI96" s="89" t="e">
        <f>IF(AND(入力!W96&gt;=1,入力!W96&lt;6,入力!B96&gt;=70,入力!B96&lt;=120),入力!X96,NA())</f>
        <v>#N/A</v>
      </c>
      <c r="AJ96" s="89" t="e">
        <f>IF(AND(入力!W96&gt;=6,入力!B96&gt;=100,入力!B96&lt;=184),入力!B96,NA())</f>
        <v>#N/A</v>
      </c>
      <c r="AK96" s="89" t="e">
        <f>IF(AND(入力!W96&gt;=6,入力!B96&gt;=100,入力!B96&lt;=184),入力!X96,NA())</f>
        <v>#N/A</v>
      </c>
      <c r="AL96" s="82" t="e">
        <f t="shared" si="69"/>
        <v>#N/A</v>
      </c>
      <c r="AM96" s="82"/>
      <c r="AN96" s="80" t="e">
        <f t="shared" si="70"/>
        <v>#N/A</v>
      </c>
      <c r="AO96" s="80" t="e">
        <f t="shared" si="71"/>
        <v>#N/A</v>
      </c>
      <c r="AP96" s="81" t="e">
        <f t="shared" si="72"/>
        <v>#N/A</v>
      </c>
      <c r="AQ96" s="81" t="e">
        <f t="shared" si="73"/>
        <v>#VALUE!</v>
      </c>
      <c r="AR96" s="81" t="e">
        <f t="shared" si="74"/>
        <v>#N/A</v>
      </c>
      <c r="AS96" s="81" t="e">
        <f t="shared" si="75"/>
        <v>#N/A</v>
      </c>
      <c r="AT96" s="81" t="e">
        <f t="shared" si="76"/>
        <v>#N/A</v>
      </c>
      <c r="AU96" s="81" t="e">
        <f t="shared" si="77"/>
        <v>#N/A</v>
      </c>
      <c r="AV96" s="81" t="e">
        <f t="shared" si="78"/>
        <v>#N/A</v>
      </c>
      <c r="AW96" s="81" t="e">
        <f t="shared" si="79"/>
        <v>#N/A</v>
      </c>
      <c r="AX96" s="81" t="e">
        <f t="shared" si="80"/>
        <v>#N/A</v>
      </c>
      <c r="AY96" s="81" t="e">
        <f>VLOOKUP($W96,頭囲データ!$R$10:$W$11,3,TRUE)*$W96^3+VLOOKUP($W96,頭囲データ!$R$10:$W$11,4,TRUE)*$W96^2+VLOOKUP($W96,頭囲データ!$R$10:$W$11,5,TRUE)*$W96+VLOOKUP($W96,頭囲データ!$R$10:$W$11,6,TRUE)</f>
        <v>#N/A</v>
      </c>
      <c r="AZ96" s="81" t="e">
        <f>VLOOKUP($W96,頭囲データ!$R$12:$W$16,3,TRUE)*$W96^3+VLOOKUP($W96,頭囲データ!$R$12:$W$16,4,TRUE)*$W96^2+VLOOKUP($W96,頭囲データ!$R$12:$W$16,5,TRUE)*$W96+VLOOKUP($W96,頭囲データ!$R$12:$W$16,6,TRUE)</f>
        <v>#N/A</v>
      </c>
      <c r="BA96" s="81" t="e">
        <f>VLOOKUP($W96,頭囲データ!$R$17:$W$18,3,TRUE)*$W96^3+VLOOKUP($W96,頭囲データ!$R$17:$W$18,4,TRUE)*$W96^2+VLOOKUP($W96,頭囲データ!$R$17:$W$18,5,TRUE)*$W96+VLOOKUP($W96,頭囲データ!$R$17:$W$18,6,TRUE)</f>
        <v>#N/A</v>
      </c>
      <c r="BB96" s="81" t="e">
        <f t="shared" si="81"/>
        <v>#N/A</v>
      </c>
      <c r="BC96" s="81" t="e">
        <f>VLOOKUP($W96,胸囲データ!$R$10:$W$11,3,TRUE)*$W96^3+VLOOKUP($W96,胸囲データ!$R$10:$W$11,4,TRUE)*$W96^2+VLOOKUP($W96,胸囲データ!$R$10:$W$11,5,TRUE)*$W96+VLOOKUP($W96,胸囲データ!$R$10:$W$11,6,TRUE)</f>
        <v>#N/A</v>
      </c>
      <c r="BD96" s="81" t="e">
        <f>VLOOKUP($W96,胸囲データ!$R$12:$W$16,3,TRUE)*$W96^3+VLOOKUP($W96,胸囲データ!$R$12:$W$16,4,TRUE)*$W96^2+VLOOKUP($W96,胸囲データ!$R$12:$W$16,5,TRUE)*$W96+VLOOKUP($W96,胸囲データ!$R$12:$W$16,6,TRUE)</f>
        <v>#N/A</v>
      </c>
      <c r="BE96" s="81" t="e">
        <f>VLOOKUP($W96,胸囲データ!$R$17:$W$18,3,TRUE)*$W96^3+VLOOKUP($W96,胸囲データ!$R$17:$W$18,4,TRUE)*$W96^2+VLOOKUP($W96,胸囲データ!$R$17:$W$18,5,TRUE)*$W96+VLOOKUP($W96,胸囲データ!$R$17:$W$18,6,TRUE)</f>
        <v>#N/A</v>
      </c>
    </row>
    <row r="97" spans="1:57" x14ac:dyDescent="0.15">
      <c r="A97" s="35"/>
      <c r="B97" s="36"/>
      <c r="C97" s="36"/>
      <c r="D97" s="49"/>
      <c r="E97" s="76"/>
      <c r="F97" s="51" t="str">
        <f t="shared" si="86"/>
        <v/>
      </c>
      <c r="G97" s="37" t="str">
        <f t="shared" si="82"/>
        <v/>
      </c>
      <c r="H97" s="38" t="str">
        <f>IF(ISERROR(W97),"",VLOOKUP(W97,成長曲線_データ!$D$4:$AC$214,3,TRUE))</f>
        <v/>
      </c>
      <c r="I97" s="39" t="str">
        <f t="shared" si="58"/>
        <v/>
      </c>
      <c r="J97" s="39" t="str">
        <f t="shared" si="59"/>
        <v/>
      </c>
      <c r="K97" s="39" t="str">
        <f t="shared" si="60"/>
        <v/>
      </c>
      <c r="L97" s="39" t="str">
        <f t="shared" si="87"/>
        <v/>
      </c>
      <c r="M97" s="39" t="str">
        <f t="shared" si="83"/>
        <v/>
      </c>
      <c r="N97" s="39" t="str">
        <f t="shared" si="84"/>
        <v/>
      </c>
      <c r="O97" s="40" t="str">
        <f t="shared" si="61"/>
        <v/>
      </c>
      <c r="P97" s="40" t="str">
        <f t="shared" si="62"/>
        <v/>
      </c>
      <c r="Q97" s="39" t="str">
        <f t="shared" si="63"/>
        <v/>
      </c>
      <c r="R97" s="39" t="str">
        <f t="shared" si="64"/>
        <v/>
      </c>
      <c r="S97" s="39" t="str">
        <f t="shared" si="85"/>
        <v/>
      </c>
      <c r="T97" s="41" t="str">
        <f t="shared" si="65"/>
        <v/>
      </c>
      <c r="V97" s="90"/>
      <c r="W97" s="79" t="e">
        <f t="shared" si="66"/>
        <v>#N/A</v>
      </c>
      <c r="X97" s="79" t="e">
        <f t="shared" si="67"/>
        <v>#N/A</v>
      </c>
      <c r="Y97" s="80" t="e">
        <f>IF(W97="","",VLOOKUP(W97,成長曲線_データ!$D$4:$AC$214,4,TRUE))</f>
        <v>#N/A</v>
      </c>
      <c r="Z97" s="80" t="e">
        <f>IF(W97="","",VLOOKUP(W97,成長曲線_データ!$D$4:$AC$214,12,TRUE))</f>
        <v>#N/A</v>
      </c>
      <c r="AA97" s="81" t="e">
        <f>IF(W97="","",VLOOKUP(W97,成長曲線_データ!$D$4:$AC$214,13,TRUE))</f>
        <v>#N/A</v>
      </c>
      <c r="AB97" s="94" t="e">
        <f t="shared" si="68"/>
        <v>#N/A</v>
      </c>
      <c r="AC97" s="82" t="e">
        <f>IF(W97&lt;0.5,NA(),VLOOKUP((W97+1/8),成長曲線_データ!$V$4:$AA$73,2,TRUE))</f>
        <v>#N/A</v>
      </c>
      <c r="AD97" s="82" t="e">
        <f>IF(W97&lt;1,NA(),VLOOKUP(W97,成長曲線_データ!$V$4:$AA$73,3,TRUE))</f>
        <v>#N/A</v>
      </c>
      <c r="AE97" s="82" t="e">
        <f>IF(W97&lt;=6.5,VLOOKUP(W97,頭囲データ!$C$10:$E$85,2,TRUE),NA())</f>
        <v>#N/A</v>
      </c>
      <c r="AF97" s="82" t="e">
        <f>IF(W97&lt;=6.5,VLOOKUP(W97,頭囲データ!$C$10:$E$85,3,TRUE),NA())</f>
        <v>#N/A</v>
      </c>
      <c r="AG97" s="89" t="str">
        <f>入力!F97&amp;"y"&amp;入力!G97&amp;"m"</f>
        <v>ym</v>
      </c>
      <c r="AH97" s="89" t="e">
        <f>IF(AND(入力!W97&gt;=1,入力!W97&lt;6,入力!B97&gt;=70,入力!B97&lt;=120),入力!B97,NA())</f>
        <v>#N/A</v>
      </c>
      <c r="AI97" s="89" t="e">
        <f>IF(AND(入力!W97&gt;=1,入力!W97&lt;6,入力!B97&gt;=70,入力!B97&lt;=120),入力!X97,NA())</f>
        <v>#N/A</v>
      </c>
      <c r="AJ97" s="89" t="e">
        <f>IF(AND(入力!W97&gt;=6,入力!B97&gt;=100,入力!B97&lt;=184),入力!B97,NA())</f>
        <v>#N/A</v>
      </c>
      <c r="AK97" s="89" t="e">
        <f>IF(AND(入力!W97&gt;=6,入力!B97&gt;=100,入力!B97&lt;=184),入力!X97,NA())</f>
        <v>#N/A</v>
      </c>
      <c r="AL97" s="82" t="e">
        <f t="shared" si="69"/>
        <v>#N/A</v>
      </c>
      <c r="AM97" s="82"/>
      <c r="AN97" s="80" t="e">
        <f t="shared" si="70"/>
        <v>#N/A</v>
      </c>
      <c r="AO97" s="80" t="e">
        <f t="shared" si="71"/>
        <v>#N/A</v>
      </c>
      <c r="AP97" s="81" t="e">
        <f t="shared" si="72"/>
        <v>#N/A</v>
      </c>
      <c r="AQ97" s="81" t="e">
        <f t="shared" si="73"/>
        <v>#VALUE!</v>
      </c>
      <c r="AR97" s="81" t="e">
        <f t="shared" si="74"/>
        <v>#N/A</v>
      </c>
      <c r="AS97" s="81" t="e">
        <f t="shared" si="75"/>
        <v>#N/A</v>
      </c>
      <c r="AT97" s="81" t="e">
        <f t="shared" si="76"/>
        <v>#N/A</v>
      </c>
      <c r="AU97" s="81" t="e">
        <f t="shared" si="77"/>
        <v>#N/A</v>
      </c>
      <c r="AV97" s="81" t="e">
        <f t="shared" si="78"/>
        <v>#N/A</v>
      </c>
      <c r="AW97" s="81" t="e">
        <f t="shared" si="79"/>
        <v>#N/A</v>
      </c>
      <c r="AX97" s="81" t="e">
        <f t="shared" si="80"/>
        <v>#N/A</v>
      </c>
      <c r="AY97" s="81" t="e">
        <f>VLOOKUP($W97,頭囲データ!$R$10:$W$11,3,TRUE)*$W97^3+VLOOKUP($W97,頭囲データ!$R$10:$W$11,4,TRUE)*$W97^2+VLOOKUP($W97,頭囲データ!$R$10:$W$11,5,TRUE)*$W97+VLOOKUP($W97,頭囲データ!$R$10:$W$11,6,TRUE)</f>
        <v>#N/A</v>
      </c>
      <c r="AZ97" s="81" t="e">
        <f>VLOOKUP($W97,頭囲データ!$R$12:$W$16,3,TRUE)*$W97^3+VLOOKUP($W97,頭囲データ!$R$12:$W$16,4,TRUE)*$W97^2+VLOOKUP($W97,頭囲データ!$R$12:$W$16,5,TRUE)*$W97+VLOOKUP($W97,頭囲データ!$R$12:$W$16,6,TRUE)</f>
        <v>#N/A</v>
      </c>
      <c r="BA97" s="81" t="e">
        <f>VLOOKUP($W97,頭囲データ!$R$17:$W$18,3,TRUE)*$W97^3+VLOOKUP($W97,頭囲データ!$R$17:$W$18,4,TRUE)*$W97^2+VLOOKUP($W97,頭囲データ!$R$17:$W$18,5,TRUE)*$W97+VLOOKUP($W97,頭囲データ!$R$17:$W$18,6,TRUE)</f>
        <v>#N/A</v>
      </c>
      <c r="BB97" s="81" t="e">
        <f t="shared" si="81"/>
        <v>#N/A</v>
      </c>
      <c r="BC97" s="81" t="e">
        <f>VLOOKUP($W97,胸囲データ!$R$10:$W$11,3,TRUE)*$W97^3+VLOOKUP($W97,胸囲データ!$R$10:$W$11,4,TRUE)*$W97^2+VLOOKUP($W97,胸囲データ!$R$10:$W$11,5,TRUE)*$W97+VLOOKUP($W97,胸囲データ!$R$10:$W$11,6,TRUE)</f>
        <v>#N/A</v>
      </c>
      <c r="BD97" s="81" t="e">
        <f>VLOOKUP($W97,胸囲データ!$R$12:$W$16,3,TRUE)*$W97^3+VLOOKUP($W97,胸囲データ!$R$12:$W$16,4,TRUE)*$W97^2+VLOOKUP($W97,胸囲データ!$R$12:$W$16,5,TRUE)*$W97+VLOOKUP($W97,胸囲データ!$R$12:$W$16,6,TRUE)</f>
        <v>#N/A</v>
      </c>
      <c r="BE97" s="81" t="e">
        <f>VLOOKUP($W97,胸囲データ!$R$17:$W$18,3,TRUE)*$W97^3+VLOOKUP($W97,胸囲データ!$R$17:$W$18,4,TRUE)*$W97^2+VLOOKUP($W97,胸囲データ!$R$17:$W$18,5,TRUE)*$W97+VLOOKUP($W97,胸囲データ!$R$17:$W$18,6,TRUE)</f>
        <v>#N/A</v>
      </c>
    </row>
    <row r="98" spans="1:57" x14ac:dyDescent="0.15">
      <c r="A98" s="35"/>
      <c r="B98" s="36"/>
      <c r="C98" s="36"/>
      <c r="D98" s="49"/>
      <c r="E98" s="76"/>
      <c r="F98" s="51" t="str">
        <f t="shared" si="86"/>
        <v/>
      </c>
      <c r="G98" s="37" t="str">
        <f t="shared" si="82"/>
        <v/>
      </c>
      <c r="H98" s="38" t="str">
        <f>IF(ISERROR(W98),"",VLOOKUP(W98,成長曲線_データ!$D$4:$AC$214,3,TRUE))</f>
        <v/>
      </c>
      <c r="I98" s="39" t="str">
        <f t="shared" si="58"/>
        <v/>
      </c>
      <c r="J98" s="39" t="str">
        <f t="shared" si="59"/>
        <v/>
      </c>
      <c r="K98" s="39" t="str">
        <f t="shared" si="60"/>
        <v/>
      </c>
      <c r="L98" s="39" t="str">
        <f t="shared" si="87"/>
        <v/>
      </c>
      <c r="M98" s="39" t="str">
        <f t="shared" si="83"/>
        <v/>
      </c>
      <c r="N98" s="39" t="str">
        <f t="shared" si="84"/>
        <v/>
      </c>
      <c r="O98" s="40" t="str">
        <f t="shared" si="61"/>
        <v/>
      </c>
      <c r="P98" s="40" t="str">
        <f t="shared" si="62"/>
        <v/>
      </c>
      <c r="Q98" s="39" t="str">
        <f t="shared" si="63"/>
        <v/>
      </c>
      <c r="R98" s="39" t="str">
        <f t="shared" si="64"/>
        <v/>
      </c>
      <c r="S98" s="39" t="str">
        <f t="shared" si="85"/>
        <v/>
      </c>
      <c r="T98" s="41" t="str">
        <f t="shared" si="65"/>
        <v/>
      </c>
      <c r="V98" s="90"/>
      <c r="W98" s="79" t="e">
        <f t="shared" si="66"/>
        <v>#N/A</v>
      </c>
      <c r="X98" s="79" t="e">
        <f t="shared" si="67"/>
        <v>#N/A</v>
      </c>
      <c r="Y98" s="80" t="e">
        <f>IF(W98="","",VLOOKUP(W98,成長曲線_データ!$D$4:$AC$214,4,TRUE))</f>
        <v>#N/A</v>
      </c>
      <c r="Z98" s="80" t="e">
        <f>IF(W98="","",VLOOKUP(W98,成長曲線_データ!$D$4:$AC$214,12,TRUE))</f>
        <v>#N/A</v>
      </c>
      <c r="AA98" s="81" t="e">
        <f>IF(W98="","",VLOOKUP(W98,成長曲線_データ!$D$4:$AC$214,13,TRUE))</f>
        <v>#N/A</v>
      </c>
      <c r="AB98" s="94" t="e">
        <f t="shared" si="68"/>
        <v>#N/A</v>
      </c>
      <c r="AC98" s="82" t="e">
        <f>IF(W98&lt;0.5,NA(),VLOOKUP((W98+1/8),成長曲線_データ!$V$4:$AA$73,2,TRUE))</f>
        <v>#N/A</v>
      </c>
      <c r="AD98" s="82" t="e">
        <f>IF(W98&lt;1,NA(),VLOOKUP(W98,成長曲線_データ!$V$4:$AA$73,3,TRUE))</f>
        <v>#N/A</v>
      </c>
      <c r="AE98" s="82" t="e">
        <f>IF(W98&lt;=6.5,VLOOKUP(W98,頭囲データ!$C$10:$E$85,2,TRUE),NA())</f>
        <v>#N/A</v>
      </c>
      <c r="AF98" s="82" t="e">
        <f>IF(W98&lt;=6.5,VLOOKUP(W98,頭囲データ!$C$10:$E$85,3,TRUE),NA())</f>
        <v>#N/A</v>
      </c>
      <c r="AG98" s="89" t="str">
        <f>入力!F98&amp;"y"&amp;入力!G98&amp;"m"</f>
        <v>ym</v>
      </c>
      <c r="AH98" s="89" t="e">
        <f>IF(AND(入力!W98&gt;=1,入力!W98&lt;6,入力!B98&gt;=70,入力!B98&lt;=120),入力!B98,NA())</f>
        <v>#N/A</v>
      </c>
      <c r="AI98" s="89" t="e">
        <f>IF(AND(入力!W98&gt;=1,入力!W98&lt;6,入力!B98&gt;=70,入力!B98&lt;=120),入力!X98,NA())</f>
        <v>#N/A</v>
      </c>
      <c r="AJ98" s="89" t="e">
        <f>IF(AND(入力!W98&gt;=6,入力!B98&gt;=100,入力!B98&lt;=184),入力!B98,NA())</f>
        <v>#N/A</v>
      </c>
      <c r="AK98" s="89" t="e">
        <f>IF(AND(入力!W98&gt;=6,入力!B98&gt;=100,入力!B98&lt;=184),入力!X98,NA())</f>
        <v>#N/A</v>
      </c>
      <c r="AL98" s="82" t="e">
        <f t="shared" si="69"/>
        <v>#N/A</v>
      </c>
      <c r="AM98" s="82"/>
      <c r="AN98" s="80" t="e">
        <f t="shared" si="70"/>
        <v>#N/A</v>
      </c>
      <c r="AO98" s="80" t="e">
        <f t="shared" si="71"/>
        <v>#N/A</v>
      </c>
      <c r="AP98" s="81" t="e">
        <f t="shared" si="72"/>
        <v>#N/A</v>
      </c>
      <c r="AQ98" s="81" t="e">
        <f t="shared" si="73"/>
        <v>#VALUE!</v>
      </c>
      <c r="AR98" s="81" t="e">
        <f t="shared" si="74"/>
        <v>#N/A</v>
      </c>
      <c r="AS98" s="81" t="e">
        <f t="shared" si="75"/>
        <v>#N/A</v>
      </c>
      <c r="AT98" s="81" t="e">
        <f t="shared" si="76"/>
        <v>#N/A</v>
      </c>
      <c r="AU98" s="81" t="e">
        <f t="shared" si="77"/>
        <v>#N/A</v>
      </c>
      <c r="AV98" s="81" t="e">
        <f t="shared" si="78"/>
        <v>#N/A</v>
      </c>
      <c r="AW98" s="81" t="e">
        <f t="shared" si="79"/>
        <v>#N/A</v>
      </c>
      <c r="AX98" s="81" t="e">
        <f t="shared" si="80"/>
        <v>#N/A</v>
      </c>
      <c r="AY98" s="81" t="e">
        <f>VLOOKUP($W98,頭囲データ!$R$10:$W$11,3,TRUE)*$W98^3+VLOOKUP($W98,頭囲データ!$R$10:$W$11,4,TRUE)*$W98^2+VLOOKUP($W98,頭囲データ!$R$10:$W$11,5,TRUE)*$W98+VLOOKUP($W98,頭囲データ!$R$10:$W$11,6,TRUE)</f>
        <v>#N/A</v>
      </c>
      <c r="AZ98" s="81" t="e">
        <f>VLOOKUP($W98,頭囲データ!$R$12:$W$16,3,TRUE)*$W98^3+VLOOKUP($W98,頭囲データ!$R$12:$W$16,4,TRUE)*$W98^2+VLOOKUP($W98,頭囲データ!$R$12:$W$16,5,TRUE)*$W98+VLOOKUP($W98,頭囲データ!$R$12:$W$16,6,TRUE)</f>
        <v>#N/A</v>
      </c>
      <c r="BA98" s="81" t="e">
        <f>VLOOKUP($W98,頭囲データ!$R$17:$W$18,3,TRUE)*$W98^3+VLOOKUP($W98,頭囲データ!$R$17:$W$18,4,TRUE)*$W98^2+VLOOKUP($W98,頭囲データ!$R$17:$W$18,5,TRUE)*$W98+VLOOKUP($W98,頭囲データ!$R$17:$W$18,6,TRUE)</f>
        <v>#N/A</v>
      </c>
      <c r="BB98" s="81" t="e">
        <f t="shared" si="81"/>
        <v>#N/A</v>
      </c>
      <c r="BC98" s="81" t="e">
        <f>VLOOKUP($W98,胸囲データ!$R$10:$W$11,3,TRUE)*$W98^3+VLOOKUP($W98,胸囲データ!$R$10:$W$11,4,TRUE)*$W98^2+VLOOKUP($W98,胸囲データ!$R$10:$W$11,5,TRUE)*$W98+VLOOKUP($W98,胸囲データ!$R$10:$W$11,6,TRUE)</f>
        <v>#N/A</v>
      </c>
      <c r="BD98" s="81" t="e">
        <f>VLOOKUP($W98,胸囲データ!$R$12:$W$16,3,TRUE)*$W98^3+VLOOKUP($W98,胸囲データ!$R$12:$W$16,4,TRUE)*$W98^2+VLOOKUP($W98,胸囲データ!$R$12:$W$16,5,TRUE)*$W98+VLOOKUP($W98,胸囲データ!$R$12:$W$16,6,TRUE)</f>
        <v>#N/A</v>
      </c>
      <c r="BE98" s="81" t="e">
        <f>VLOOKUP($W98,胸囲データ!$R$17:$W$18,3,TRUE)*$W98^3+VLOOKUP($W98,胸囲データ!$R$17:$W$18,4,TRUE)*$W98^2+VLOOKUP($W98,胸囲データ!$R$17:$W$18,5,TRUE)*$W98+VLOOKUP($W98,胸囲データ!$R$17:$W$18,6,TRUE)</f>
        <v>#N/A</v>
      </c>
    </row>
    <row r="99" spans="1:57" x14ac:dyDescent="0.15">
      <c r="A99" s="35"/>
      <c r="B99" s="36"/>
      <c r="C99" s="36"/>
      <c r="D99" s="49"/>
      <c r="E99" s="76"/>
      <c r="F99" s="51" t="str">
        <f t="shared" si="86"/>
        <v/>
      </c>
      <c r="G99" s="37" t="str">
        <f t="shared" si="82"/>
        <v/>
      </c>
      <c r="H99" s="38" t="str">
        <f>IF(ISERROR(W99),"",VLOOKUP(W99,成長曲線_データ!$D$4:$AC$214,3,TRUE))</f>
        <v/>
      </c>
      <c r="I99" s="39" t="str">
        <f t="shared" si="58"/>
        <v/>
      </c>
      <c r="J99" s="39" t="str">
        <f t="shared" si="59"/>
        <v/>
      </c>
      <c r="K99" s="39" t="str">
        <f t="shared" si="60"/>
        <v/>
      </c>
      <c r="L99" s="39" t="str">
        <f t="shared" si="87"/>
        <v/>
      </c>
      <c r="M99" s="39" t="str">
        <f t="shared" si="83"/>
        <v/>
      </c>
      <c r="N99" s="39" t="str">
        <f t="shared" si="84"/>
        <v/>
      </c>
      <c r="O99" s="40" t="str">
        <f t="shared" si="61"/>
        <v/>
      </c>
      <c r="P99" s="40" t="str">
        <f t="shared" si="62"/>
        <v/>
      </c>
      <c r="Q99" s="39" t="str">
        <f t="shared" si="63"/>
        <v/>
      </c>
      <c r="R99" s="39" t="str">
        <f t="shared" si="64"/>
        <v/>
      </c>
      <c r="S99" s="39" t="str">
        <f t="shared" si="85"/>
        <v/>
      </c>
      <c r="T99" s="41" t="str">
        <f t="shared" si="65"/>
        <v/>
      </c>
      <c r="V99" s="90"/>
      <c r="W99" s="79" t="e">
        <f t="shared" si="66"/>
        <v>#N/A</v>
      </c>
      <c r="X99" s="79" t="e">
        <f t="shared" si="67"/>
        <v>#N/A</v>
      </c>
      <c r="Y99" s="80" t="e">
        <f>IF(W99="","",VLOOKUP(W99,成長曲線_データ!$D$4:$AC$214,4,TRUE))</f>
        <v>#N/A</v>
      </c>
      <c r="Z99" s="80" t="e">
        <f>IF(W99="","",VLOOKUP(W99,成長曲線_データ!$D$4:$AC$214,12,TRUE))</f>
        <v>#N/A</v>
      </c>
      <c r="AA99" s="81" t="e">
        <f>IF(W99="","",VLOOKUP(W99,成長曲線_データ!$D$4:$AC$214,13,TRUE))</f>
        <v>#N/A</v>
      </c>
      <c r="AB99" s="94" t="e">
        <f t="shared" si="68"/>
        <v>#N/A</v>
      </c>
      <c r="AC99" s="82" t="e">
        <f>IF(W99&lt;0.5,NA(),VLOOKUP((W99+1/8),成長曲線_データ!$V$4:$AA$73,2,TRUE))</f>
        <v>#N/A</v>
      </c>
      <c r="AD99" s="82" t="e">
        <f>IF(W99&lt;1,NA(),VLOOKUP(W99,成長曲線_データ!$V$4:$AA$73,3,TRUE))</f>
        <v>#N/A</v>
      </c>
      <c r="AE99" s="82" t="e">
        <f>IF(W99&lt;=6.5,VLOOKUP(W99,頭囲データ!$C$10:$E$85,2,TRUE),NA())</f>
        <v>#N/A</v>
      </c>
      <c r="AF99" s="82" t="e">
        <f>IF(W99&lt;=6.5,VLOOKUP(W99,頭囲データ!$C$10:$E$85,3,TRUE),NA())</f>
        <v>#N/A</v>
      </c>
      <c r="AG99" s="89" t="str">
        <f>入力!F99&amp;"y"&amp;入力!G99&amp;"m"</f>
        <v>ym</v>
      </c>
      <c r="AH99" s="89" t="e">
        <f>IF(AND(入力!W99&gt;=1,入力!W99&lt;6,入力!B99&gt;=70,入力!B99&lt;=120),入力!B99,NA())</f>
        <v>#N/A</v>
      </c>
      <c r="AI99" s="89" t="e">
        <f>IF(AND(入力!W99&gt;=1,入力!W99&lt;6,入力!B99&gt;=70,入力!B99&lt;=120),入力!X99,NA())</f>
        <v>#N/A</v>
      </c>
      <c r="AJ99" s="89" t="e">
        <f>IF(AND(入力!W99&gt;=6,入力!B99&gt;=100,入力!B99&lt;=184),入力!B99,NA())</f>
        <v>#N/A</v>
      </c>
      <c r="AK99" s="89" t="e">
        <f>IF(AND(入力!W99&gt;=6,入力!B99&gt;=100,入力!B99&lt;=184),入力!X99,NA())</f>
        <v>#N/A</v>
      </c>
      <c r="AL99" s="82" t="e">
        <f t="shared" si="69"/>
        <v>#N/A</v>
      </c>
      <c r="AM99" s="82"/>
      <c r="AN99" s="80" t="e">
        <f t="shared" si="70"/>
        <v>#N/A</v>
      </c>
      <c r="AO99" s="80" t="e">
        <f t="shared" si="71"/>
        <v>#N/A</v>
      </c>
      <c r="AP99" s="81" t="e">
        <f t="shared" si="72"/>
        <v>#N/A</v>
      </c>
      <c r="AQ99" s="81" t="e">
        <f t="shared" si="73"/>
        <v>#VALUE!</v>
      </c>
      <c r="AR99" s="81" t="e">
        <f t="shared" si="74"/>
        <v>#N/A</v>
      </c>
      <c r="AS99" s="81" t="e">
        <f t="shared" si="75"/>
        <v>#N/A</v>
      </c>
      <c r="AT99" s="81" t="e">
        <f t="shared" si="76"/>
        <v>#N/A</v>
      </c>
      <c r="AU99" s="81" t="e">
        <f t="shared" si="77"/>
        <v>#N/A</v>
      </c>
      <c r="AV99" s="81" t="e">
        <f t="shared" si="78"/>
        <v>#N/A</v>
      </c>
      <c r="AW99" s="81" t="e">
        <f t="shared" si="79"/>
        <v>#N/A</v>
      </c>
      <c r="AX99" s="81" t="e">
        <f t="shared" si="80"/>
        <v>#N/A</v>
      </c>
      <c r="AY99" s="81" t="e">
        <f>VLOOKUP($W99,頭囲データ!$R$10:$W$11,3,TRUE)*$W99^3+VLOOKUP($W99,頭囲データ!$R$10:$W$11,4,TRUE)*$W99^2+VLOOKUP($W99,頭囲データ!$R$10:$W$11,5,TRUE)*$W99+VLOOKUP($W99,頭囲データ!$R$10:$W$11,6,TRUE)</f>
        <v>#N/A</v>
      </c>
      <c r="AZ99" s="81" t="e">
        <f>VLOOKUP($W99,頭囲データ!$R$12:$W$16,3,TRUE)*$W99^3+VLOOKUP($W99,頭囲データ!$R$12:$W$16,4,TRUE)*$W99^2+VLOOKUP($W99,頭囲データ!$R$12:$W$16,5,TRUE)*$W99+VLOOKUP($W99,頭囲データ!$R$12:$W$16,6,TRUE)</f>
        <v>#N/A</v>
      </c>
      <c r="BA99" s="81" t="e">
        <f>VLOOKUP($W99,頭囲データ!$R$17:$W$18,3,TRUE)*$W99^3+VLOOKUP($W99,頭囲データ!$R$17:$W$18,4,TRUE)*$W99^2+VLOOKUP($W99,頭囲データ!$R$17:$W$18,5,TRUE)*$W99+VLOOKUP($W99,頭囲データ!$R$17:$W$18,6,TRUE)</f>
        <v>#N/A</v>
      </c>
      <c r="BB99" s="81" t="e">
        <f t="shared" si="81"/>
        <v>#N/A</v>
      </c>
      <c r="BC99" s="81" t="e">
        <f>VLOOKUP($W99,胸囲データ!$R$10:$W$11,3,TRUE)*$W99^3+VLOOKUP($W99,胸囲データ!$R$10:$W$11,4,TRUE)*$W99^2+VLOOKUP($W99,胸囲データ!$R$10:$W$11,5,TRUE)*$W99+VLOOKUP($W99,胸囲データ!$R$10:$W$11,6,TRUE)</f>
        <v>#N/A</v>
      </c>
      <c r="BD99" s="81" t="e">
        <f>VLOOKUP($W99,胸囲データ!$R$12:$W$16,3,TRUE)*$W99^3+VLOOKUP($W99,胸囲データ!$R$12:$W$16,4,TRUE)*$W99^2+VLOOKUP($W99,胸囲データ!$R$12:$W$16,5,TRUE)*$W99+VLOOKUP($W99,胸囲データ!$R$12:$W$16,6,TRUE)</f>
        <v>#N/A</v>
      </c>
      <c r="BE99" s="81" t="e">
        <f>VLOOKUP($W99,胸囲データ!$R$17:$W$18,3,TRUE)*$W99^3+VLOOKUP($W99,胸囲データ!$R$17:$W$18,4,TRUE)*$W99^2+VLOOKUP($W99,胸囲データ!$R$17:$W$18,5,TRUE)*$W99+VLOOKUP($W99,胸囲データ!$R$17:$W$18,6,TRUE)</f>
        <v>#N/A</v>
      </c>
    </row>
    <row r="100" spans="1:57" x14ac:dyDescent="0.15">
      <c r="A100" s="35"/>
      <c r="B100" s="36"/>
      <c r="C100" s="36"/>
      <c r="D100" s="49"/>
      <c r="E100" s="76"/>
      <c r="F100" s="51" t="str">
        <f t="shared" si="86"/>
        <v/>
      </c>
      <c r="G100" s="37" t="str">
        <f t="shared" si="82"/>
        <v/>
      </c>
      <c r="H100" s="38" t="str">
        <f>IF(ISERROR(W100),"",VLOOKUP(W100,成長曲線_データ!$D$4:$AC$214,3,TRUE))</f>
        <v/>
      </c>
      <c r="I100" s="39" t="str">
        <f t="shared" si="58"/>
        <v/>
      </c>
      <c r="J100" s="39" t="str">
        <f t="shared" si="59"/>
        <v/>
      </c>
      <c r="K100" s="39" t="str">
        <f t="shared" si="60"/>
        <v/>
      </c>
      <c r="L100" s="39" t="str">
        <f t="shared" si="87"/>
        <v/>
      </c>
      <c r="M100" s="39" t="str">
        <f t="shared" si="83"/>
        <v/>
      </c>
      <c r="N100" s="39" t="str">
        <f t="shared" si="84"/>
        <v/>
      </c>
      <c r="O100" s="40" t="str">
        <f t="shared" si="61"/>
        <v/>
      </c>
      <c r="P100" s="40" t="str">
        <f t="shared" si="62"/>
        <v/>
      </c>
      <c r="Q100" s="39" t="str">
        <f t="shared" si="63"/>
        <v/>
      </c>
      <c r="R100" s="39" t="str">
        <f t="shared" si="64"/>
        <v/>
      </c>
      <c r="S100" s="39" t="str">
        <f t="shared" si="85"/>
        <v/>
      </c>
      <c r="T100" s="41" t="str">
        <f t="shared" si="65"/>
        <v/>
      </c>
      <c r="V100" s="90"/>
      <c r="W100" s="79" t="e">
        <f t="shared" si="66"/>
        <v>#N/A</v>
      </c>
      <c r="X100" s="79" t="e">
        <f t="shared" si="67"/>
        <v>#N/A</v>
      </c>
      <c r="Y100" s="80" t="e">
        <f>IF(W100="","",VLOOKUP(W100,成長曲線_データ!$D$4:$AC$214,4,TRUE))</f>
        <v>#N/A</v>
      </c>
      <c r="Z100" s="80" t="e">
        <f>IF(W100="","",VLOOKUP(W100,成長曲線_データ!$D$4:$AC$214,12,TRUE))</f>
        <v>#N/A</v>
      </c>
      <c r="AA100" s="81" t="e">
        <f>IF(W100="","",VLOOKUP(W100,成長曲線_データ!$D$4:$AC$214,13,TRUE))</f>
        <v>#N/A</v>
      </c>
      <c r="AB100" s="94" t="e">
        <f t="shared" si="68"/>
        <v>#N/A</v>
      </c>
      <c r="AC100" s="82" t="e">
        <f>IF(W100&lt;0.5,NA(),VLOOKUP((W100+1/8),成長曲線_データ!$V$4:$AA$73,2,TRUE))</f>
        <v>#N/A</v>
      </c>
      <c r="AD100" s="82" t="e">
        <f>IF(W100&lt;1,NA(),VLOOKUP(W100,成長曲線_データ!$V$4:$AA$73,3,TRUE))</f>
        <v>#N/A</v>
      </c>
      <c r="AE100" s="82" t="e">
        <f>IF(W100&lt;=6.5,VLOOKUP(W100,頭囲データ!$C$10:$E$85,2,TRUE),NA())</f>
        <v>#N/A</v>
      </c>
      <c r="AF100" s="82" t="e">
        <f>IF(W100&lt;=6.5,VLOOKUP(W100,頭囲データ!$C$10:$E$85,3,TRUE),NA())</f>
        <v>#N/A</v>
      </c>
      <c r="AG100" s="89" t="str">
        <f>入力!F100&amp;"y"&amp;入力!G100&amp;"m"</f>
        <v>ym</v>
      </c>
      <c r="AH100" s="89" t="e">
        <f>IF(AND(入力!W100&gt;=1,入力!W100&lt;6,入力!B100&gt;=70,入力!B100&lt;=120),入力!B100,NA())</f>
        <v>#N/A</v>
      </c>
      <c r="AI100" s="89" t="e">
        <f>IF(AND(入力!W100&gt;=1,入力!W100&lt;6,入力!B100&gt;=70,入力!B100&lt;=120),入力!X100,NA())</f>
        <v>#N/A</v>
      </c>
      <c r="AJ100" s="89" t="e">
        <f>IF(AND(入力!W100&gt;=6,入力!B100&gt;=100,入力!B100&lt;=184),入力!B100,NA())</f>
        <v>#N/A</v>
      </c>
      <c r="AK100" s="89" t="e">
        <f>IF(AND(入力!W100&gt;=6,入力!B100&gt;=100,入力!B100&lt;=184),入力!X100,NA())</f>
        <v>#N/A</v>
      </c>
      <c r="AL100" s="82" t="e">
        <f t="shared" si="69"/>
        <v>#N/A</v>
      </c>
      <c r="AM100" s="82"/>
      <c r="AN100" s="80" t="e">
        <f t="shared" si="70"/>
        <v>#N/A</v>
      </c>
      <c r="AO100" s="80" t="e">
        <f t="shared" si="71"/>
        <v>#N/A</v>
      </c>
      <c r="AP100" s="81" t="e">
        <f t="shared" si="72"/>
        <v>#N/A</v>
      </c>
      <c r="AQ100" s="81" t="e">
        <f t="shared" si="73"/>
        <v>#VALUE!</v>
      </c>
      <c r="AR100" s="81" t="e">
        <f t="shared" si="74"/>
        <v>#N/A</v>
      </c>
      <c r="AS100" s="81" t="e">
        <f t="shared" si="75"/>
        <v>#N/A</v>
      </c>
      <c r="AT100" s="81" t="e">
        <f t="shared" si="76"/>
        <v>#N/A</v>
      </c>
      <c r="AU100" s="81" t="e">
        <f t="shared" si="77"/>
        <v>#N/A</v>
      </c>
      <c r="AV100" s="81" t="e">
        <f t="shared" si="78"/>
        <v>#N/A</v>
      </c>
      <c r="AW100" s="81" t="e">
        <f t="shared" si="79"/>
        <v>#N/A</v>
      </c>
      <c r="AX100" s="81" t="e">
        <f t="shared" si="80"/>
        <v>#N/A</v>
      </c>
      <c r="AY100" s="81" t="e">
        <f>VLOOKUP($W100,頭囲データ!$R$10:$W$11,3,TRUE)*$W100^3+VLOOKUP($W100,頭囲データ!$R$10:$W$11,4,TRUE)*$W100^2+VLOOKUP($W100,頭囲データ!$R$10:$W$11,5,TRUE)*$W100+VLOOKUP($W100,頭囲データ!$R$10:$W$11,6,TRUE)</f>
        <v>#N/A</v>
      </c>
      <c r="AZ100" s="81" t="e">
        <f>VLOOKUP($W100,頭囲データ!$R$12:$W$16,3,TRUE)*$W100^3+VLOOKUP($W100,頭囲データ!$R$12:$W$16,4,TRUE)*$W100^2+VLOOKUP($W100,頭囲データ!$R$12:$W$16,5,TRUE)*$W100+VLOOKUP($W100,頭囲データ!$R$12:$W$16,6,TRUE)</f>
        <v>#N/A</v>
      </c>
      <c r="BA100" s="81" t="e">
        <f>VLOOKUP($W100,頭囲データ!$R$17:$W$18,3,TRUE)*$W100^3+VLOOKUP($W100,頭囲データ!$R$17:$W$18,4,TRUE)*$W100^2+VLOOKUP($W100,頭囲データ!$R$17:$W$18,5,TRUE)*$W100+VLOOKUP($W100,頭囲データ!$R$17:$W$18,6,TRUE)</f>
        <v>#N/A</v>
      </c>
      <c r="BB100" s="81" t="e">
        <f t="shared" si="81"/>
        <v>#N/A</v>
      </c>
      <c r="BC100" s="81" t="e">
        <f>VLOOKUP($W100,胸囲データ!$R$10:$W$11,3,TRUE)*$W100^3+VLOOKUP($W100,胸囲データ!$R$10:$W$11,4,TRUE)*$W100^2+VLOOKUP($W100,胸囲データ!$R$10:$W$11,5,TRUE)*$W100+VLOOKUP($W100,胸囲データ!$R$10:$W$11,6,TRUE)</f>
        <v>#N/A</v>
      </c>
      <c r="BD100" s="81" t="e">
        <f>VLOOKUP($W100,胸囲データ!$R$12:$W$16,3,TRUE)*$W100^3+VLOOKUP($W100,胸囲データ!$R$12:$W$16,4,TRUE)*$W100^2+VLOOKUP($W100,胸囲データ!$R$12:$W$16,5,TRUE)*$W100+VLOOKUP($W100,胸囲データ!$R$12:$W$16,6,TRUE)</f>
        <v>#N/A</v>
      </c>
      <c r="BE100" s="81" t="e">
        <f>VLOOKUP($W100,胸囲データ!$R$17:$W$18,3,TRUE)*$W100^3+VLOOKUP($W100,胸囲データ!$R$17:$W$18,4,TRUE)*$W100^2+VLOOKUP($W100,胸囲データ!$R$17:$W$18,5,TRUE)*$W100+VLOOKUP($W100,胸囲データ!$R$17:$W$18,6,TRUE)</f>
        <v>#N/A</v>
      </c>
    </row>
    <row r="101" spans="1:57" x14ac:dyDescent="0.15">
      <c r="A101" s="35"/>
      <c r="B101" s="36"/>
      <c r="C101" s="36"/>
      <c r="D101" s="49"/>
      <c r="E101" s="76"/>
      <c r="F101" s="51" t="str">
        <f t="shared" si="86"/>
        <v/>
      </c>
      <c r="G101" s="37" t="str">
        <f t="shared" si="82"/>
        <v/>
      </c>
      <c r="H101" s="38" t="str">
        <f>IF(ISERROR(W101),"",VLOOKUP(W101,成長曲線_データ!$D$4:$AC$214,3,TRUE))</f>
        <v/>
      </c>
      <c r="I101" s="39" t="str">
        <f t="shared" si="58"/>
        <v/>
      </c>
      <c r="J101" s="39" t="str">
        <f t="shared" si="59"/>
        <v/>
      </c>
      <c r="K101" s="39" t="str">
        <f t="shared" si="60"/>
        <v/>
      </c>
      <c r="L101" s="39" t="str">
        <f t="shared" si="87"/>
        <v/>
      </c>
      <c r="M101" s="39" t="str">
        <f t="shared" si="83"/>
        <v/>
      </c>
      <c r="N101" s="39" t="str">
        <f t="shared" si="84"/>
        <v/>
      </c>
      <c r="O101" s="40" t="str">
        <f t="shared" si="61"/>
        <v/>
      </c>
      <c r="P101" s="40" t="str">
        <f t="shared" si="62"/>
        <v/>
      </c>
      <c r="Q101" s="39" t="str">
        <f t="shared" si="63"/>
        <v/>
      </c>
      <c r="R101" s="39" t="str">
        <f t="shared" si="64"/>
        <v/>
      </c>
      <c r="S101" s="39" t="str">
        <f t="shared" si="85"/>
        <v/>
      </c>
      <c r="T101" s="41" t="str">
        <f t="shared" si="65"/>
        <v/>
      </c>
      <c r="V101" s="90"/>
      <c r="W101" s="79" t="e">
        <f t="shared" si="66"/>
        <v>#N/A</v>
      </c>
      <c r="X101" s="79" t="e">
        <f t="shared" si="67"/>
        <v>#N/A</v>
      </c>
      <c r="Y101" s="80" t="e">
        <f>IF(W101="","",VLOOKUP(W101,成長曲線_データ!$D$4:$AC$214,4,TRUE))</f>
        <v>#N/A</v>
      </c>
      <c r="Z101" s="80" t="e">
        <f>IF(W101="","",VLOOKUP(W101,成長曲線_データ!$D$4:$AC$214,12,TRUE))</f>
        <v>#N/A</v>
      </c>
      <c r="AA101" s="81" t="e">
        <f>IF(W101="","",VLOOKUP(W101,成長曲線_データ!$D$4:$AC$214,13,TRUE))</f>
        <v>#N/A</v>
      </c>
      <c r="AB101" s="94" t="e">
        <f t="shared" si="68"/>
        <v>#N/A</v>
      </c>
      <c r="AC101" s="82" t="e">
        <f>IF(W101&lt;0.5,NA(),VLOOKUP((W101+1/8),成長曲線_データ!$V$4:$AA$73,2,TRUE))</f>
        <v>#N/A</v>
      </c>
      <c r="AD101" s="82" t="e">
        <f>IF(W101&lt;1,NA(),VLOOKUP(W101,成長曲線_データ!$V$4:$AA$73,3,TRUE))</f>
        <v>#N/A</v>
      </c>
      <c r="AE101" s="82" t="e">
        <f>IF(W101&lt;=6.5,VLOOKUP(W101,頭囲データ!$C$10:$E$85,2,TRUE),NA())</f>
        <v>#N/A</v>
      </c>
      <c r="AF101" s="82" t="e">
        <f>IF(W101&lt;=6.5,VLOOKUP(W101,頭囲データ!$C$10:$E$85,3,TRUE),NA())</f>
        <v>#N/A</v>
      </c>
      <c r="AG101" s="89" t="str">
        <f>入力!F101&amp;"y"&amp;入力!G101&amp;"m"</f>
        <v>ym</v>
      </c>
      <c r="AH101" s="89" t="e">
        <f>IF(AND(入力!W101&gt;=1,入力!W101&lt;6,入力!B101&gt;=70,入力!B101&lt;=120),入力!B101,NA())</f>
        <v>#N/A</v>
      </c>
      <c r="AI101" s="89" t="e">
        <f>IF(AND(入力!W101&gt;=1,入力!W101&lt;6,入力!B101&gt;=70,入力!B101&lt;=120),入力!X101,NA())</f>
        <v>#N/A</v>
      </c>
      <c r="AJ101" s="89" t="e">
        <f>IF(AND(入力!W101&gt;=6,入力!B101&gt;=100,入力!B101&lt;=184),入力!B101,NA())</f>
        <v>#N/A</v>
      </c>
      <c r="AK101" s="89" t="e">
        <f>IF(AND(入力!W101&gt;=6,入力!B101&gt;=100,入力!B101&lt;=184),入力!X101,NA())</f>
        <v>#N/A</v>
      </c>
      <c r="AL101" s="82" t="e">
        <f t="shared" si="69"/>
        <v>#N/A</v>
      </c>
      <c r="AM101" s="82"/>
      <c r="AN101" s="80" t="e">
        <f t="shared" si="70"/>
        <v>#N/A</v>
      </c>
      <c r="AO101" s="80" t="e">
        <f t="shared" si="71"/>
        <v>#N/A</v>
      </c>
      <c r="AP101" s="81" t="e">
        <f t="shared" si="72"/>
        <v>#N/A</v>
      </c>
      <c r="AQ101" s="81" t="e">
        <f t="shared" si="73"/>
        <v>#VALUE!</v>
      </c>
      <c r="AR101" s="81" t="e">
        <f t="shared" si="74"/>
        <v>#N/A</v>
      </c>
      <c r="AS101" s="81" t="e">
        <f t="shared" si="75"/>
        <v>#N/A</v>
      </c>
      <c r="AT101" s="81" t="e">
        <f t="shared" si="76"/>
        <v>#N/A</v>
      </c>
      <c r="AU101" s="81" t="e">
        <f t="shared" si="77"/>
        <v>#N/A</v>
      </c>
      <c r="AV101" s="81" t="e">
        <f t="shared" si="78"/>
        <v>#N/A</v>
      </c>
      <c r="AW101" s="81" t="e">
        <f t="shared" si="79"/>
        <v>#N/A</v>
      </c>
      <c r="AX101" s="81" t="e">
        <f t="shared" si="80"/>
        <v>#N/A</v>
      </c>
      <c r="AY101" s="81" t="e">
        <f>VLOOKUP($W101,頭囲データ!$R$10:$W$11,3,TRUE)*$W101^3+VLOOKUP($W101,頭囲データ!$R$10:$W$11,4,TRUE)*$W101^2+VLOOKUP($W101,頭囲データ!$R$10:$W$11,5,TRUE)*$W101+VLOOKUP($W101,頭囲データ!$R$10:$W$11,6,TRUE)</f>
        <v>#N/A</v>
      </c>
      <c r="AZ101" s="81" t="e">
        <f>VLOOKUP($W101,頭囲データ!$R$12:$W$16,3,TRUE)*$W101^3+VLOOKUP($W101,頭囲データ!$R$12:$W$16,4,TRUE)*$W101^2+VLOOKUP($W101,頭囲データ!$R$12:$W$16,5,TRUE)*$W101+VLOOKUP($W101,頭囲データ!$R$12:$W$16,6,TRUE)</f>
        <v>#N/A</v>
      </c>
      <c r="BA101" s="81" t="e">
        <f>VLOOKUP($W101,頭囲データ!$R$17:$W$18,3,TRUE)*$W101^3+VLOOKUP($W101,頭囲データ!$R$17:$W$18,4,TRUE)*$W101^2+VLOOKUP($W101,頭囲データ!$R$17:$W$18,5,TRUE)*$W101+VLOOKUP($W101,頭囲データ!$R$17:$W$18,6,TRUE)</f>
        <v>#N/A</v>
      </c>
      <c r="BB101" s="81" t="e">
        <f t="shared" si="81"/>
        <v>#N/A</v>
      </c>
      <c r="BC101" s="81" t="e">
        <f>VLOOKUP($W101,胸囲データ!$R$10:$W$11,3,TRUE)*$W101^3+VLOOKUP($W101,胸囲データ!$R$10:$W$11,4,TRUE)*$W101^2+VLOOKUP($W101,胸囲データ!$R$10:$W$11,5,TRUE)*$W101+VLOOKUP($W101,胸囲データ!$R$10:$W$11,6,TRUE)</f>
        <v>#N/A</v>
      </c>
      <c r="BD101" s="81" t="e">
        <f>VLOOKUP($W101,胸囲データ!$R$12:$W$16,3,TRUE)*$W101^3+VLOOKUP($W101,胸囲データ!$R$12:$W$16,4,TRUE)*$W101^2+VLOOKUP($W101,胸囲データ!$R$12:$W$16,5,TRUE)*$W101+VLOOKUP($W101,胸囲データ!$R$12:$W$16,6,TRUE)</f>
        <v>#N/A</v>
      </c>
      <c r="BE101" s="81" t="e">
        <f>VLOOKUP($W101,胸囲データ!$R$17:$W$18,3,TRUE)*$W101^3+VLOOKUP($W101,胸囲データ!$R$17:$W$18,4,TRUE)*$W101^2+VLOOKUP($W101,胸囲データ!$R$17:$W$18,5,TRUE)*$W101+VLOOKUP($W101,胸囲データ!$R$17:$W$18,6,TRUE)</f>
        <v>#N/A</v>
      </c>
    </row>
    <row r="102" spans="1:57" x14ac:dyDescent="0.15">
      <c r="A102" s="35"/>
      <c r="B102" s="36"/>
      <c r="C102" s="36"/>
      <c r="D102" s="49"/>
      <c r="E102" s="76"/>
      <c r="F102" s="51" t="str">
        <f t="shared" si="86"/>
        <v/>
      </c>
      <c r="G102" s="37" t="str">
        <f t="shared" si="82"/>
        <v/>
      </c>
      <c r="H102" s="38" t="str">
        <f>IF(ISERROR(W102),"",VLOOKUP(W102,成長曲線_データ!$D$4:$AC$214,3,TRUE))</f>
        <v/>
      </c>
      <c r="I102" s="39" t="str">
        <f t="shared" si="58"/>
        <v/>
      </c>
      <c r="J102" s="39" t="str">
        <f t="shared" si="59"/>
        <v/>
      </c>
      <c r="K102" s="39" t="str">
        <f t="shared" si="60"/>
        <v/>
      </c>
      <c r="L102" s="39" t="str">
        <f t="shared" si="87"/>
        <v/>
      </c>
      <c r="M102" s="39" t="str">
        <f t="shared" si="83"/>
        <v/>
      </c>
      <c r="N102" s="39" t="str">
        <f t="shared" si="84"/>
        <v/>
      </c>
      <c r="O102" s="40" t="str">
        <f t="shared" si="61"/>
        <v/>
      </c>
      <c r="P102" s="40" t="str">
        <f t="shared" si="62"/>
        <v/>
      </c>
      <c r="Q102" s="39" t="str">
        <f t="shared" si="63"/>
        <v/>
      </c>
      <c r="R102" s="39" t="str">
        <f t="shared" si="64"/>
        <v/>
      </c>
      <c r="S102" s="39" t="str">
        <f t="shared" si="85"/>
        <v/>
      </c>
      <c r="T102" s="41" t="str">
        <f t="shared" si="65"/>
        <v/>
      </c>
      <c r="V102" s="90"/>
      <c r="W102" s="79" t="e">
        <f t="shared" si="66"/>
        <v>#N/A</v>
      </c>
      <c r="X102" s="79" t="e">
        <f t="shared" si="67"/>
        <v>#N/A</v>
      </c>
      <c r="Y102" s="80" t="e">
        <f>IF(W102="","",VLOOKUP(W102,成長曲線_データ!$D$4:$AC$214,4,TRUE))</f>
        <v>#N/A</v>
      </c>
      <c r="Z102" s="80" t="e">
        <f>IF(W102="","",VLOOKUP(W102,成長曲線_データ!$D$4:$AC$214,12,TRUE))</f>
        <v>#N/A</v>
      </c>
      <c r="AA102" s="81" t="e">
        <f>IF(W102="","",VLOOKUP(W102,成長曲線_データ!$D$4:$AC$214,13,TRUE))</f>
        <v>#N/A</v>
      </c>
      <c r="AB102" s="94" t="e">
        <f t="shared" si="68"/>
        <v>#N/A</v>
      </c>
      <c r="AC102" s="82" t="e">
        <f>IF(W102&lt;0.5,NA(),VLOOKUP((W102+1/8),成長曲線_データ!$V$4:$AA$73,2,TRUE))</f>
        <v>#N/A</v>
      </c>
      <c r="AD102" s="82" t="e">
        <f>IF(W102&lt;1,NA(),VLOOKUP(W102,成長曲線_データ!$V$4:$AA$73,3,TRUE))</f>
        <v>#N/A</v>
      </c>
      <c r="AE102" s="82" t="e">
        <f>IF(W102&lt;=6.5,VLOOKUP(W102,頭囲データ!$C$10:$E$85,2,TRUE),NA())</f>
        <v>#N/A</v>
      </c>
      <c r="AF102" s="82" t="e">
        <f>IF(W102&lt;=6.5,VLOOKUP(W102,頭囲データ!$C$10:$E$85,3,TRUE),NA())</f>
        <v>#N/A</v>
      </c>
      <c r="AG102" s="89" t="str">
        <f>入力!F102&amp;"y"&amp;入力!G102&amp;"m"</f>
        <v>ym</v>
      </c>
      <c r="AH102" s="89" t="e">
        <f>IF(AND(入力!W102&gt;=1,入力!W102&lt;6,入力!B102&gt;=70,入力!B102&lt;=120),入力!B102,NA())</f>
        <v>#N/A</v>
      </c>
      <c r="AI102" s="89" t="e">
        <f>IF(AND(入力!W102&gt;=1,入力!W102&lt;6,入力!B102&gt;=70,入力!B102&lt;=120),入力!X102,NA())</f>
        <v>#N/A</v>
      </c>
      <c r="AJ102" s="89" t="e">
        <f>IF(AND(入力!W102&gt;=6,入力!B102&gt;=100,入力!B102&lt;=184),入力!B102,NA())</f>
        <v>#N/A</v>
      </c>
      <c r="AK102" s="89" t="e">
        <f>IF(AND(入力!W102&gt;=6,入力!B102&gt;=100,入力!B102&lt;=184),入力!X102,NA())</f>
        <v>#N/A</v>
      </c>
      <c r="AL102" s="82" t="e">
        <f t="shared" si="69"/>
        <v>#N/A</v>
      </c>
      <c r="AM102" s="82"/>
      <c r="AN102" s="80" t="e">
        <f t="shared" si="70"/>
        <v>#N/A</v>
      </c>
      <c r="AO102" s="80" t="e">
        <f t="shared" si="71"/>
        <v>#N/A</v>
      </c>
      <c r="AP102" s="81" t="e">
        <f t="shared" si="72"/>
        <v>#N/A</v>
      </c>
      <c r="AQ102" s="81" t="e">
        <f t="shared" si="73"/>
        <v>#VALUE!</v>
      </c>
      <c r="AR102" s="81" t="e">
        <f t="shared" si="74"/>
        <v>#N/A</v>
      </c>
      <c r="AS102" s="81" t="e">
        <f t="shared" si="75"/>
        <v>#N/A</v>
      </c>
      <c r="AT102" s="81" t="e">
        <f t="shared" si="76"/>
        <v>#N/A</v>
      </c>
      <c r="AU102" s="81" t="e">
        <f t="shared" si="77"/>
        <v>#N/A</v>
      </c>
      <c r="AV102" s="81" t="e">
        <f t="shared" si="78"/>
        <v>#N/A</v>
      </c>
      <c r="AW102" s="81" t="e">
        <f t="shared" si="79"/>
        <v>#N/A</v>
      </c>
      <c r="AX102" s="81" t="e">
        <f t="shared" si="80"/>
        <v>#N/A</v>
      </c>
      <c r="AY102" s="81" t="e">
        <f>VLOOKUP($W102,頭囲データ!$R$10:$W$11,3,TRUE)*$W102^3+VLOOKUP($W102,頭囲データ!$R$10:$W$11,4,TRUE)*$W102^2+VLOOKUP($W102,頭囲データ!$R$10:$W$11,5,TRUE)*$W102+VLOOKUP($W102,頭囲データ!$R$10:$W$11,6,TRUE)</f>
        <v>#N/A</v>
      </c>
      <c r="AZ102" s="81" t="e">
        <f>VLOOKUP($W102,頭囲データ!$R$12:$W$16,3,TRUE)*$W102^3+VLOOKUP($W102,頭囲データ!$R$12:$W$16,4,TRUE)*$W102^2+VLOOKUP($W102,頭囲データ!$R$12:$W$16,5,TRUE)*$W102+VLOOKUP($W102,頭囲データ!$R$12:$W$16,6,TRUE)</f>
        <v>#N/A</v>
      </c>
      <c r="BA102" s="81" t="e">
        <f>VLOOKUP($W102,頭囲データ!$R$17:$W$18,3,TRUE)*$W102^3+VLOOKUP($W102,頭囲データ!$R$17:$W$18,4,TRUE)*$W102^2+VLOOKUP($W102,頭囲データ!$R$17:$W$18,5,TRUE)*$W102+VLOOKUP($W102,頭囲データ!$R$17:$W$18,6,TRUE)</f>
        <v>#N/A</v>
      </c>
      <c r="BB102" s="81" t="e">
        <f t="shared" si="81"/>
        <v>#N/A</v>
      </c>
      <c r="BC102" s="81" t="e">
        <f>VLOOKUP($W102,胸囲データ!$R$10:$W$11,3,TRUE)*$W102^3+VLOOKUP($W102,胸囲データ!$R$10:$W$11,4,TRUE)*$W102^2+VLOOKUP($W102,胸囲データ!$R$10:$W$11,5,TRUE)*$W102+VLOOKUP($W102,胸囲データ!$R$10:$W$11,6,TRUE)</f>
        <v>#N/A</v>
      </c>
      <c r="BD102" s="81" t="e">
        <f>VLOOKUP($W102,胸囲データ!$R$12:$W$16,3,TRUE)*$W102^3+VLOOKUP($W102,胸囲データ!$R$12:$W$16,4,TRUE)*$W102^2+VLOOKUP($W102,胸囲データ!$R$12:$W$16,5,TRUE)*$W102+VLOOKUP($W102,胸囲データ!$R$12:$W$16,6,TRUE)</f>
        <v>#N/A</v>
      </c>
      <c r="BE102" s="81" t="e">
        <f>VLOOKUP($W102,胸囲データ!$R$17:$W$18,3,TRUE)*$W102^3+VLOOKUP($W102,胸囲データ!$R$17:$W$18,4,TRUE)*$W102^2+VLOOKUP($W102,胸囲データ!$R$17:$W$18,5,TRUE)*$W102+VLOOKUP($W102,胸囲データ!$R$17:$W$18,6,TRUE)</f>
        <v>#N/A</v>
      </c>
    </row>
    <row r="103" spans="1:57" x14ac:dyDescent="0.15">
      <c r="A103" s="35"/>
      <c r="B103" s="36"/>
      <c r="C103" s="36"/>
      <c r="D103" s="49"/>
      <c r="E103" s="76"/>
      <c r="F103" s="51" t="str">
        <f t="shared" si="86"/>
        <v/>
      </c>
      <c r="G103" s="37" t="str">
        <f t="shared" si="82"/>
        <v/>
      </c>
      <c r="H103" s="38" t="str">
        <f>IF(ISERROR(W103),"",VLOOKUP(W103,成長曲線_データ!$D$4:$AC$214,3,TRUE))</f>
        <v/>
      </c>
      <c r="I103" s="39" t="str">
        <f t="shared" ref="I103:I134" si="88">IF(OR(ISERROR(Y103),B103=""),"",(B103-H103)/Y103)</f>
        <v/>
      </c>
      <c r="J103" s="39" t="str">
        <f t="shared" ref="J103:J134" si="89">IF(ISNA(AB103),"",(B103-B102)/(A103-A102)*365.25)</f>
        <v/>
      </c>
      <c r="K103" s="39" t="str">
        <f t="shared" ref="K103:K134" si="90">IF(OR(ISERROR(AD103),J103=""),"",(J103-AC103)/AD103)</f>
        <v/>
      </c>
      <c r="L103" s="39" t="str">
        <f t="shared" si="87"/>
        <v/>
      </c>
      <c r="M103" s="39" t="str">
        <f t="shared" si="83"/>
        <v/>
      </c>
      <c r="N103" s="39" t="str">
        <f t="shared" si="84"/>
        <v/>
      </c>
      <c r="O103" s="40" t="str">
        <f t="shared" ref="O103:O134" si="91">IF(AND(B103&gt;0,ISNUMBER(X103)),10000*X103/B103^2,"")</f>
        <v/>
      </c>
      <c r="P103" s="40" t="str">
        <f t="shared" ref="P103:P134" si="92">IF(OR(ISNA(W103),ISERROR($AQ103)),"",$AQ103)</f>
        <v/>
      </c>
      <c r="Q103" s="39" t="str">
        <f t="shared" si="63"/>
        <v/>
      </c>
      <c r="R103" s="39" t="str">
        <f t="shared" ref="R103:R134" si="93">IF(OR(ISNA($X103),ISNA($AN103)),"",($X103-$Q103)/$Q103*100)</f>
        <v/>
      </c>
      <c r="S103" s="39" t="str">
        <f t="shared" si="85"/>
        <v/>
      </c>
      <c r="T103" s="41" t="str">
        <f t="shared" ref="T103:T134" si="94">IF(OR(ISNA($X103),ISNA($AO103)),"",($X103-$S103)/$S103*100)</f>
        <v/>
      </c>
      <c r="V103" s="90"/>
      <c r="W103" s="79" t="e">
        <f t="shared" ref="W103:W134" si="95">IF(AND($B$3&gt;0,$A103&gt;0,$A103-$B$3&gt;=0),($A103-$B$3)/365.25,NA())</f>
        <v>#N/A</v>
      </c>
      <c r="X103" s="79" t="e">
        <f t="shared" ref="X103:X134" si="96">IF(C103="",NA(),IF(C103&lt;300,C103,C103/1000))</f>
        <v>#N/A</v>
      </c>
      <c r="Y103" s="80" t="e">
        <f>IF(W103="","",VLOOKUP(W103,成長曲線_データ!$D$4:$AC$214,4,TRUE))</f>
        <v>#N/A</v>
      </c>
      <c r="Z103" s="80" t="e">
        <f>IF(W103="","",VLOOKUP(W103,成長曲線_データ!$D$4:$AC$214,12,TRUE))</f>
        <v>#N/A</v>
      </c>
      <c r="AA103" s="81" t="e">
        <f>IF(W103="","",VLOOKUP(W103,成長曲線_データ!$D$4:$AC$214,13,TRUE))</f>
        <v>#N/A</v>
      </c>
      <c r="AB103" s="94" t="e">
        <f t="shared" ref="AB103:AB134" si="97">IF(AND(A102&gt;0,A103&gt;0,B102&gt;0,B103&gt;0),AVERAGE($W103,$W102),NA())</f>
        <v>#N/A</v>
      </c>
      <c r="AC103" s="82" t="e">
        <f>IF(W103&lt;0.5,NA(),VLOOKUP((W103+1/8),成長曲線_データ!$V$4:$AA$73,2,TRUE))</f>
        <v>#N/A</v>
      </c>
      <c r="AD103" s="82" t="e">
        <f>IF(W103&lt;1,NA(),VLOOKUP(W103,成長曲線_データ!$V$4:$AA$73,3,TRUE))</f>
        <v>#N/A</v>
      </c>
      <c r="AE103" s="82" t="e">
        <f>IF(W103&lt;=6.5,VLOOKUP(W103,頭囲データ!$C$10:$E$85,2,TRUE),NA())</f>
        <v>#N/A</v>
      </c>
      <c r="AF103" s="82" t="e">
        <f>IF(W103&lt;=6.5,VLOOKUP(W103,頭囲データ!$C$10:$E$85,3,TRUE),NA())</f>
        <v>#N/A</v>
      </c>
      <c r="AG103" s="89" t="str">
        <f>入力!F103&amp;"y"&amp;入力!G103&amp;"m"</f>
        <v>ym</v>
      </c>
      <c r="AH103" s="89" t="e">
        <f>IF(AND(入力!W103&gt;=1,入力!W103&lt;6,入力!B103&gt;=70,入力!B103&lt;=120),入力!B103,NA())</f>
        <v>#N/A</v>
      </c>
      <c r="AI103" s="89" t="e">
        <f>IF(AND(入力!W103&gt;=1,入力!W103&lt;6,入力!B103&gt;=70,入力!B103&lt;=120),入力!X103,NA())</f>
        <v>#N/A</v>
      </c>
      <c r="AJ103" s="89" t="e">
        <f>IF(AND(入力!W103&gt;=6,入力!B103&gt;=100,入力!B103&lt;=184),入力!B103,NA())</f>
        <v>#N/A</v>
      </c>
      <c r="AK103" s="89" t="e">
        <f>IF(AND(入力!W103&gt;=6,入力!B103&gt;=100,入力!B103&lt;=184),入力!X103,NA())</f>
        <v>#N/A</v>
      </c>
      <c r="AL103" s="82" t="e">
        <f t="shared" ref="AL103:AL134" si="98">IF(W103&lt;=1,W103*12,NA())</f>
        <v>#N/A</v>
      </c>
      <c r="AM103" s="82"/>
      <c r="AN103" s="80" t="e">
        <f t="shared" ref="AN103:AN134" si="99">IF(OR($B103="",ISNA($W103)),NA(),IF(AND($W103&gt;=5,$W103&lt;18),INDEX(IF($B$2="男",muratamale,muratafemale),$F103-4,2)*$B103+INDEX(IF($B$2="男",muratamale,muratafemale),$F103-4,3),NA()))</f>
        <v>#N/A</v>
      </c>
      <c r="AO103" s="80" t="e">
        <f t="shared" ref="AO103:AO134" si="100">IF($W103&lt;6,IF(AND($B103&gt;=70,$B103&lt;120),2,NA()),IF($W103&lt;18,IF($B103&gt;=101,IF($B103&gt;=140,IF($B103&gt;=149,IF($B103&gt;171+IF($B$2="男",1,0)*13,NA(),5),4),3),NA()),NA()))+IF($B$2="男",0,1)*6</f>
        <v>#N/A</v>
      </c>
      <c r="AP103" s="81" t="e">
        <f t="shared" ref="AP103:AP134" si="101">INDEX(ito,$AO103,6)*$B103^3+INDEX(ito,$AO103,7)*$B103^2+INDEX(ito,$AO103,8)*$B103+INDEX(ito,$AO103,9)</f>
        <v>#N/A</v>
      </c>
      <c r="AQ103" s="81" t="e">
        <f t="shared" ref="AQ103:AQ134" si="102">(($O103/$AU103)^$AS103-1)/($AS103*$AW103)</f>
        <v>#VALUE!</v>
      </c>
      <c r="AR103" s="81" t="e">
        <f t="shared" ref="AR103:AR134" si="103">IF($W103*12&lt;150,IF($W103*12&lt;IF($B$2="男",78,69),2,3),4)+IF($B$2="男",0,4)</f>
        <v>#N/A</v>
      </c>
      <c r="AS103" s="81" t="e">
        <f t="shared" ref="AS103:AS134" si="104">INDEX(BMI_L,$AR103,3)*($W103*12)^3+INDEX(BMI_L,$AR103,4)*($W103*12)^2+INDEX(BMI_L,$AR103,5)*($W103*12)+INDEX(BMI_L,$AR103,6)</f>
        <v>#N/A</v>
      </c>
      <c r="AT103" s="81" t="e">
        <f t="shared" ref="AT103:AT134" si="105">IF($W103*12&lt;90,IF($W103*12&lt;26.75,IF($W103*12&lt;9.5,IF($W103*12&lt;2.5,2,3),4),5),6)+IF($B$2="男",0,6)+IF(AND($B$2&lt;&gt;"男",$W103*12&gt;=150),1,0)</f>
        <v>#N/A</v>
      </c>
      <c r="AU103" s="81" t="e">
        <f t="shared" ref="AU103:AU134" si="106">INDEX(BMI_M,$AT103,3)*($W103*12)^3+INDEX(BMI_M,$AT103,4)*($W103*12)^2+INDEX(BMI_M,$AT103,5)*($W103*12)+INDEX(BMI_M,$AT103,6)</f>
        <v>#N/A</v>
      </c>
      <c r="AV103" s="81" t="e">
        <f t="shared" ref="AV103:AV134" si="107">IF($W103*12&lt;90,2,3)+IF($B$2="男",0,3)</f>
        <v>#N/A</v>
      </c>
      <c r="AW103" s="81" t="e">
        <f t="shared" ref="AW103:AW134" si="108">INDEX(BMI_S,$AV103,3)*($W103*12)^3+INDEX(BMI_S,$AV103,4)*($W103*12)^2+INDEX(BMI_S,$AV103,5)*($W103*12)+INDEX(BMI_S,$AV103,6)</f>
        <v>#N/A</v>
      </c>
      <c r="AX103" s="81" t="e">
        <f t="shared" ref="AX103:AX134" si="109">IF(AND(W103&lt;6.5,D103&gt;0),(($D103/$AZ103)^$AY103-1)/($AY103*$BA103),NA())</f>
        <v>#N/A</v>
      </c>
      <c r="AY103" s="81" t="e">
        <f>VLOOKUP($W103,頭囲データ!$R$10:$W$11,3,TRUE)*$W103^3+VLOOKUP($W103,頭囲データ!$R$10:$W$11,4,TRUE)*$W103^2+VLOOKUP($W103,頭囲データ!$R$10:$W$11,5,TRUE)*$W103+VLOOKUP($W103,頭囲データ!$R$10:$W$11,6,TRUE)</f>
        <v>#N/A</v>
      </c>
      <c r="AZ103" s="81" t="e">
        <f>VLOOKUP($W103,頭囲データ!$R$12:$W$16,3,TRUE)*$W103^3+VLOOKUP($W103,頭囲データ!$R$12:$W$16,4,TRUE)*$W103^2+VLOOKUP($W103,頭囲データ!$R$12:$W$16,5,TRUE)*$W103+VLOOKUP($W103,頭囲データ!$R$12:$W$16,6,TRUE)</f>
        <v>#N/A</v>
      </c>
      <c r="BA103" s="81" t="e">
        <f>VLOOKUP($W103,頭囲データ!$R$17:$W$18,3,TRUE)*$W103^3+VLOOKUP($W103,頭囲データ!$R$17:$W$18,4,TRUE)*$W103^2+VLOOKUP($W103,頭囲データ!$R$17:$W$18,5,TRUE)*$W103+VLOOKUP($W103,頭囲データ!$R$17:$W$18,6,TRUE)</f>
        <v>#N/A</v>
      </c>
      <c r="BB103" s="81" t="e">
        <f t="shared" ref="BB103:BB134" si="110">IF(AND(W103&lt;6.5,E103&gt;0),(($E103/$BD103)^$BC103-1)/($BC103*$BE103),NA())</f>
        <v>#N/A</v>
      </c>
      <c r="BC103" s="81" t="e">
        <f>VLOOKUP($W103,胸囲データ!$R$10:$W$11,3,TRUE)*$W103^3+VLOOKUP($W103,胸囲データ!$R$10:$W$11,4,TRUE)*$W103^2+VLOOKUP($W103,胸囲データ!$R$10:$W$11,5,TRUE)*$W103+VLOOKUP($W103,胸囲データ!$R$10:$W$11,6,TRUE)</f>
        <v>#N/A</v>
      </c>
      <c r="BD103" s="81" t="e">
        <f>VLOOKUP($W103,胸囲データ!$R$12:$W$16,3,TRUE)*$W103^3+VLOOKUP($W103,胸囲データ!$R$12:$W$16,4,TRUE)*$W103^2+VLOOKUP($W103,胸囲データ!$R$12:$W$16,5,TRUE)*$W103+VLOOKUP($W103,胸囲データ!$R$12:$W$16,6,TRUE)</f>
        <v>#N/A</v>
      </c>
      <c r="BE103" s="81" t="e">
        <f>VLOOKUP($W103,胸囲データ!$R$17:$W$18,3,TRUE)*$W103^3+VLOOKUP($W103,胸囲データ!$R$17:$W$18,4,TRUE)*$W103^2+VLOOKUP($W103,胸囲データ!$R$17:$W$18,5,TRUE)*$W103+VLOOKUP($W103,胸囲データ!$R$17:$W$18,6,TRUE)</f>
        <v>#N/A</v>
      </c>
    </row>
    <row r="104" spans="1:57" x14ac:dyDescent="0.15">
      <c r="A104" s="35"/>
      <c r="B104" s="36"/>
      <c r="C104" s="36"/>
      <c r="D104" s="49"/>
      <c r="E104" s="76"/>
      <c r="F104" s="51" t="str">
        <f t="shared" si="86"/>
        <v/>
      </c>
      <c r="G104" s="37" t="str">
        <f t="shared" si="82"/>
        <v/>
      </c>
      <c r="H104" s="38" t="str">
        <f>IF(ISERROR(W104),"",VLOOKUP(W104,成長曲線_データ!$D$4:$AC$214,3,TRUE))</f>
        <v/>
      </c>
      <c r="I104" s="39" t="str">
        <f t="shared" si="88"/>
        <v/>
      </c>
      <c r="J104" s="39" t="str">
        <f t="shared" si="89"/>
        <v/>
      </c>
      <c r="K104" s="39" t="str">
        <f t="shared" si="90"/>
        <v/>
      </c>
      <c r="L104" s="39" t="str">
        <f t="shared" si="87"/>
        <v/>
      </c>
      <c r="M104" s="39" t="str">
        <f t="shared" si="83"/>
        <v/>
      </c>
      <c r="N104" s="39" t="str">
        <f t="shared" si="84"/>
        <v/>
      </c>
      <c r="O104" s="40" t="str">
        <f t="shared" si="91"/>
        <v/>
      </c>
      <c r="P104" s="40" t="str">
        <f t="shared" si="92"/>
        <v/>
      </c>
      <c r="Q104" s="39" t="str">
        <f t="shared" si="63"/>
        <v/>
      </c>
      <c r="R104" s="39" t="str">
        <f t="shared" si="93"/>
        <v/>
      </c>
      <c r="S104" s="39" t="str">
        <f t="shared" si="85"/>
        <v/>
      </c>
      <c r="T104" s="41" t="str">
        <f t="shared" si="94"/>
        <v/>
      </c>
      <c r="V104" s="90"/>
      <c r="W104" s="79" t="e">
        <f t="shared" si="95"/>
        <v>#N/A</v>
      </c>
      <c r="X104" s="79" t="e">
        <f t="shared" si="96"/>
        <v>#N/A</v>
      </c>
      <c r="Y104" s="80" t="e">
        <f>IF(W104="","",VLOOKUP(W104,成長曲線_データ!$D$4:$AC$214,4,TRUE))</f>
        <v>#N/A</v>
      </c>
      <c r="Z104" s="80" t="e">
        <f>IF(W104="","",VLOOKUP(W104,成長曲線_データ!$D$4:$AC$214,12,TRUE))</f>
        <v>#N/A</v>
      </c>
      <c r="AA104" s="81" t="e">
        <f>IF(W104="","",VLOOKUP(W104,成長曲線_データ!$D$4:$AC$214,13,TRUE))</f>
        <v>#N/A</v>
      </c>
      <c r="AB104" s="94" t="e">
        <f t="shared" si="97"/>
        <v>#N/A</v>
      </c>
      <c r="AC104" s="82" t="e">
        <f>IF(W104&lt;0.5,NA(),VLOOKUP((W104+1/8),成長曲線_データ!$V$4:$AA$73,2,TRUE))</f>
        <v>#N/A</v>
      </c>
      <c r="AD104" s="82" t="e">
        <f>IF(W104&lt;1,NA(),VLOOKUP(W104,成長曲線_データ!$V$4:$AA$73,3,TRUE))</f>
        <v>#N/A</v>
      </c>
      <c r="AE104" s="82" t="e">
        <f>IF(W104&lt;=6.5,VLOOKUP(W104,頭囲データ!$C$10:$E$85,2,TRUE),NA())</f>
        <v>#N/A</v>
      </c>
      <c r="AF104" s="82" t="e">
        <f>IF(W104&lt;=6.5,VLOOKUP(W104,頭囲データ!$C$10:$E$85,3,TRUE),NA())</f>
        <v>#N/A</v>
      </c>
      <c r="AG104" s="89" t="str">
        <f>入力!F104&amp;"y"&amp;入力!G104&amp;"m"</f>
        <v>ym</v>
      </c>
      <c r="AH104" s="89" t="e">
        <f>IF(AND(入力!W104&gt;=1,入力!W104&lt;6,入力!B104&gt;=70,入力!B104&lt;=120),入力!B104,NA())</f>
        <v>#N/A</v>
      </c>
      <c r="AI104" s="89" t="e">
        <f>IF(AND(入力!W104&gt;=1,入力!W104&lt;6,入力!B104&gt;=70,入力!B104&lt;=120),入力!X104,NA())</f>
        <v>#N/A</v>
      </c>
      <c r="AJ104" s="89" t="e">
        <f>IF(AND(入力!W104&gt;=6,入力!B104&gt;=100,入力!B104&lt;=184),入力!B104,NA())</f>
        <v>#N/A</v>
      </c>
      <c r="AK104" s="89" t="e">
        <f>IF(AND(入力!W104&gt;=6,入力!B104&gt;=100,入力!B104&lt;=184),入力!X104,NA())</f>
        <v>#N/A</v>
      </c>
      <c r="AL104" s="82" t="e">
        <f t="shared" si="98"/>
        <v>#N/A</v>
      </c>
      <c r="AM104" s="82"/>
      <c r="AN104" s="80" t="e">
        <f t="shared" si="99"/>
        <v>#N/A</v>
      </c>
      <c r="AO104" s="80" t="e">
        <f t="shared" si="100"/>
        <v>#N/A</v>
      </c>
      <c r="AP104" s="81" t="e">
        <f t="shared" si="101"/>
        <v>#N/A</v>
      </c>
      <c r="AQ104" s="81" t="e">
        <f t="shared" si="102"/>
        <v>#VALUE!</v>
      </c>
      <c r="AR104" s="81" t="e">
        <f t="shared" si="103"/>
        <v>#N/A</v>
      </c>
      <c r="AS104" s="81" t="e">
        <f t="shared" si="104"/>
        <v>#N/A</v>
      </c>
      <c r="AT104" s="81" t="e">
        <f t="shared" si="105"/>
        <v>#N/A</v>
      </c>
      <c r="AU104" s="81" t="e">
        <f t="shared" si="106"/>
        <v>#N/A</v>
      </c>
      <c r="AV104" s="81" t="e">
        <f t="shared" si="107"/>
        <v>#N/A</v>
      </c>
      <c r="AW104" s="81" t="e">
        <f t="shared" si="108"/>
        <v>#N/A</v>
      </c>
      <c r="AX104" s="81" t="e">
        <f t="shared" si="109"/>
        <v>#N/A</v>
      </c>
      <c r="AY104" s="81" t="e">
        <f>VLOOKUP($W104,頭囲データ!$R$10:$W$11,3,TRUE)*$W104^3+VLOOKUP($W104,頭囲データ!$R$10:$W$11,4,TRUE)*$W104^2+VLOOKUP($W104,頭囲データ!$R$10:$W$11,5,TRUE)*$W104+VLOOKUP($W104,頭囲データ!$R$10:$W$11,6,TRUE)</f>
        <v>#N/A</v>
      </c>
      <c r="AZ104" s="81" t="e">
        <f>VLOOKUP($W104,頭囲データ!$R$12:$W$16,3,TRUE)*$W104^3+VLOOKUP($W104,頭囲データ!$R$12:$W$16,4,TRUE)*$W104^2+VLOOKUP($W104,頭囲データ!$R$12:$W$16,5,TRUE)*$W104+VLOOKUP($W104,頭囲データ!$R$12:$W$16,6,TRUE)</f>
        <v>#N/A</v>
      </c>
      <c r="BA104" s="81" t="e">
        <f>VLOOKUP($W104,頭囲データ!$R$17:$W$18,3,TRUE)*$W104^3+VLOOKUP($W104,頭囲データ!$R$17:$W$18,4,TRUE)*$W104^2+VLOOKUP($W104,頭囲データ!$R$17:$W$18,5,TRUE)*$W104+VLOOKUP($W104,頭囲データ!$R$17:$W$18,6,TRUE)</f>
        <v>#N/A</v>
      </c>
      <c r="BB104" s="81" t="e">
        <f t="shared" si="110"/>
        <v>#N/A</v>
      </c>
      <c r="BC104" s="81" t="e">
        <f>VLOOKUP($W104,胸囲データ!$R$10:$W$11,3,TRUE)*$W104^3+VLOOKUP($W104,胸囲データ!$R$10:$W$11,4,TRUE)*$W104^2+VLOOKUP($W104,胸囲データ!$R$10:$W$11,5,TRUE)*$W104+VLOOKUP($W104,胸囲データ!$R$10:$W$11,6,TRUE)</f>
        <v>#N/A</v>
      </c>
      <c r="BD104" s="81" t="e">
        <f>VLOOKUP($W104,胸囲データ!$R$12:$W$16,3,TRUE)*$W104^3+VLOOKUP($W104,胸囲データ!$R$12:$W$16,4,TRUE)*$W104^2+VLOOKUP($W104,胸囲データ!$R$12:$W$16,5,TRUE)*$W104+VLOOKUP($W104,胸囲データ!$R$12:$W$16,6,TRUE)</f>
        <v>#N/A</v>
      </c>
      <c r="BE104" s="81" t="e">
        <f>VLOOKUP($W104,胸囲データ!$R$17:$W$18,3,TRUE)*$W104^3+VLOOKUP($W104,胸囲データ!$R$17:$W$18,4,TRUE)*$W104^2+VLOOKUP($W104,胸囲データ!$R$17:$W$18,5,TRUE)*$W104+VLOOKUP($W104,胸囲データ!$R$17:$W$18,6,TRUE)</f>
        <v>#N/A</v>
      </c>
    </row>
    <row r="105" spans="1:57" x14ac:dyDescent="0.15">
      <c r="A105" s="35"/>
      <c r="B105" s="36"/>
      <c r="C105" s="36"/>
      <c r="D105" s="49"/>
      <c r="E105" s="76"/>
      <c r="F105" s="51" t="str">
        <f t="shared" si="86"/>
        <v/>
      </c>
      <c r="G105" s="37" t="str">
        <f t="shared" si="82"/>
        <v/>
      </c>
      <c r="H105" s="38" t="str">
        <f>IF(ISERROR(W105),"",VLOOKUP(W105,成長曲線_データ!$D$4:$AC$214,3,TRUE))</f>
        <v/>
      </c>
      <c r="I105" s="39" t="str">
        <f t="shared" si="88"/>
        <v/>
      </c>
      <c r="J105" s="39" t="str">
        <f t="shared" si="89"/>
        <v/>
      </c>
      <c r="K105" s="39" t="str">
        <f t="shared" si="90"/>
        <v/>
      </c>
      <c r="L105" s="39" t="str">
        <f t="shared" si="87"/>
        <v/>
      </c>
      <c r="M105" s="39" t="str">
        <f t="shared" si="83"/>
        <v/>
      </c>
      <c r="N105" s="39" t="str">
        <f t="shared" si="84"/>
        <v/>
      </c>
      <c r="O105" s="40" t="str">
        <f t="shared" si="91"/>
        <v/>
      </c>
      <c r="P105" s="40" t="str">
        <f t="shared" si="92"/>
        <v/>
      </c>
      <c r="Q105" s="39" t="str">
        <f t="shared" si="63"/>
        <v/>
      </c>
      <c r="R105" s="39" t="str">
        <f t="shared" si="93"/>
        <v/>
      </c>
      <c r="S105" s="39" t="str">
        <f t="shared" si="85"/>
        <v/>
      </c>
      <c r="T105" s="41" t="str">
        <f t="shared" si="94"/>
        <v/>
      </c>
      <c r="V105" s="90"/>
      <c r="W105" s="79" t="e">
        <f t="shared" si="95"/>
        <v>#N/A</v>
      </c>
      <c r="X105" s="79" t="e">
        <f t="shared" si="96"/>
        <v>#N/A</v>
      </c>
      <c r="Y105" s="80" t="e">
        <f>IF(W105="","",VLOOKUP(W105,成長曲線_データ!$D$4:$AC$214,4,TRUE))</f>
        <v>#N/A</v>
      </c>
      <c r="Z105" s="80" t="e">
        <f>IF(W105="","",VLOOKUP(W105,成長曲線_データ!$D$4:$AC$214,12,TRUE))</f>
        <v>#N/A</v>
      </c>
      <c r="AA105" s="81" t="e">
        <f>IF(W105="","",VLOOKUP(W105,成長曲線_データ!$D$4:$AC$214,13,TRUE))</f>
        <v>#N/A</v>
      </c>
      <c r="AB105" s="94" t="e">
        <f t="shared" si="97"/>
        <v>#N/A</v>
      </c>
      <c r="AC105" s="82" t="e">
        <f>IF(W105&lt;0.5,NA(),VLOOKUP((W105+1/8),成長曲線_データ!$V$4:$AA$73,2,TRUE))</f>
        <v>#N/A</v>
      </c>
      <c r="AD105" s="82" t="e">
        <f>IF(W105&lt;1,NA(),VLOOKUP(W105,成長曲線_データ!$V$4:$AA$73,3,TRUE))</f>
        <v>#N/A</v>
      </c>
      <c r="AE105" s="82" t="e">
        <f>IF(W105&lt;=6.5,VLOOKUP(W105,頭囲データ!$C$10:$E$85,2,TRUE),NA())</f>
        <v>#N/A</v>
      </c>
      <c r="AF105" s="82" t="e">
        <f>IF(W105&lt;=6.5,VLOOKUP(W105,頭囲データ!$C$10:$E$85,3,TRUE),NA())</f>
        <v>#N/A</v>
      </c>
      <c r="AG105" s="89" t="str">
        <f>入力!F105&amp;"y"&amp;入力!G105&amp;"m"</f>
        <v>ym</v>
      </c>
      <c r="AH105" s="89" t="e">
        <f>IF(AND(入力!W105&gt;=1,入力!W105&lt;6,入力!B105&gt;=70,入力!B105&lt;=120),入力!B105,NA())</f>
        <v>#N/A</v>
      </c>
      <c r="AI105" s="89" t="e">
        <f>IF(AND(入力!W105&gt;=1,入力!W105&lt;6,入力!B105&gt;=70,入力!B105&lt;=120),入力!X105,NA())</f>
        <v>#N/A</v>
      </c>
      <c r="AJ105" s="89" t="e">
        <f>IF(AND(入力!W105&gt;=6,入力!B105&gt;=100,入力!B105&lt;=184),入力!B105,NA())</f>
        <v>#N/A</v>
      </c>
      <c r="AK105" s="89" t="e">
        <f>IF(AND(入力!W105&gt;=6,入力!B105&gt;=100,入力!B105&lt;=184),入力!X105,NA())</f>
        <v>#N/A</v>
      </c>
      <c r="AL105" s="82" t="e">
        <f t="shared" si="98"/>
        <v>#N/A</v>
      </c>
      <c r="AM105" s="82"/>
      <c r="AN105" s="80" t="e">
        <f t="shared" si="99"/>
        <v>#N/A</v>
      </c>
      <c r="AO105" s="80" t="e">
        <f t="shared" si="100"/>
        <v>#N/A</v>
      </c>
      <c r="AP105" s="81" t="e">
        <f t="shared" si="101"/>
        <v>#N/A</v>
      </c>
      <c r="AQ105" s="81" t="e">
        <f t="shared" si="102"/>
        <v>#VALUE!</v>
      </c>
      <c r="AR105" s="81" t="e">
        <f t="shared" si="103"/>
        <v>#N/A</v>
      </c>
      <c r="AS105" s="81" t="e">
        <f t="shared" si="104"/>
        <v>#N/A</v>
      </c>
      <c r="AT105" s="81" t="e">
        <f t="shared" si="105"/>
        <v>#N/A</v>
      </c>
      <c r="AU105" s="81" t="e">
        <f t="shared" si="106"/>
        <v>#N/A</v>
      </c>
      <c r="AV105" s="81" t="e">
        <f t="shared" si="107"/>
        <v>#N/A</v>
      </c>
      <c r="AW105" s="81" t="e">
        <f t="shared" si="108"/>
        <v>#N/A</v>
      </c>
      <c r="AX105" s="81" t="e">
        <f t="shared" si="109"/>
        <v>#N/A</v>
      </c>
      <c r="AY105" s="81" t="e">
        <f>VLOOKUP($W105,頭囲データ!$R$10:$W$11,3,TRUE)*$W105^3+VLOOKUP($W105,頭囲データ!$R$10:$W$11,4,TRUE)*$W105^2+VLOOKUP($W105,頭囲データ!$R$10:$W$11,5,TRUE)*$W105+VLOOKUP($W105,頭囲データ!$R$10:$W$11,6,TRUE)</f>
        <v>#N/A</v>
      </c>
      <c r="AZ105" s="81" t="e">
        <f>VLOOKUP($W105,頭囲データ!$R$12:$W$16,3,TRUE)*$W105^3+VLOOKUP($W105,頭囲データ!$R$12:$W$16,4,TRUE)*$W105^2+VLOOKUP($W105,頭囲データ!$R$12:$W$16,5,TRUE)*$W105+VLOOKUP($W105,頭囲データ!$R$12:$W$16,6,TRUE)</f>
        <v>#N/A</v>
      </c>
      <c r="BA105" s="81" t="e">
        <f>VLOOKUP($W105,頭囲データ!$R$17:$W$18,3,TRUE)*$W105^3+VLOOKUP($W105,頭囲データ!$R$17:$W$18,4,TRUE)*$W105^2+VLOOKUP($W105,頭囲データ!$R$17:$W$18,5,TRUE)*$W105+VLOOKUP($W105,頭囲データ!$R$17:$W$18,6,TRUE)</f>
        <v>#N/A</v>
      </c>
      <c r="BB105" s="81" t="e">
        <f t="shared" si="110"/>
        <v>#N/A</v>
      </c>
      <c r="BC105" s="81" t="e">
        <f>VLOOKUP($W105,胸囲データ!$R$10:$W$11,3,TRUE)*$W105^3+VLOOKUP($W105,胸囲データ!$R$10:$W$11,4,TRUE)*$W105^2+VLOOKUP($W105,胸囲データ!$R$10:$W$11,5,TRUE)*$W105+VLOOKUP($W105,胸囲データ!$R$10:$W$11,6,TRUE)</f>
        <v>#N/A</v>
      </c>
      <c r="BD105" s="81" t="e">
        <f>VLOOKUP($W105,胸囲データ!$R$12:$W$16,3,TRUE)*$W105^3+VLOOKUP($W105,胸囲データ!$R$12:$W$16,4,TRUE)*$W105^2+VLOOKUP($W105,胸囲データ!$R$12:$W$16,5,TRUE)*$W105+VLOOKUP($W105,胸囲データ!$R$12:$W$16,6,TRUE)</f>
        <v>#N/A</v>
      </c>
      <c r="BE105" s="81" t="e">
        <f>VLOOKUP($W105,胸囲データ!$R$17:$W$18,3,TRUE)*$W105^3+VLOOKUP($W105,胸囲データ!$R$17:$W$18,4,TRUE)*$W105^2+VLOOKUP($W105,胸囲データ!$R$17:$W$18,5,TRUE)*$W105+VLOOKUP($W105,胸囲データ!$R$17:$W$18,6,TRUE)</f>
        <v>#N/A</v>
      </c>
    </row>
    <row r="106" spans="1:57" x14ac:dyDescent="0.15">
      <c r="A106" s="35"/>
      <c r="B106" s="36"/>
      <c r="C106" s="36"/>
      <c r="D106" s="49"/>
      <c r="E106" s="76"/>
      <c r="F106" s="51" t="str">
        <f t="shared" si="86"/>
        <v/>
      </c>
      <c r="G106" s="37" t="str">
        <f t="shared" si="82"/>
        <v/>
      </c>
      <c r="H106" s="38" t="str">
        <f>IF(ISERROR(W106),"",VLOOKUP(W106,成長曲線_データ!$D$4:$AC$214,3,TRUE))</f>
        <v/>
      </c>
      <c r="I106" s="39" t="str">
        <f t="shared" si="88"/>
        <v/>
      </c>
      <c r="J106" s="39" t="str">
        <f t="shared" si="89"/>
        <v/>
      </c>
      <c r="K106" s="39" t="str">
        <f t="shared" si="90"/>
        <v/>
      </c>
      <c r="L106" s="39" t="str">
        <f t="shared" si="87"/>
        <v/>
      </c>
      <c r="M106" s="39" t="str">
        <f t="shared" si="83"/>
        <v/>
      </c>
      <c r="N106" s="39" t="str">
        <f t="shared" si="84"/>
        <v/>
      </c>
      <c r="O106" s="40" t="str">
        <f t="shared" si="91"/>
        <v/>
      </c>
      <c r="P106" s="40" t="str">
        <f t="shared" si="92"/>
        <v/>
      </c>
      <c r="Q106" s="39" t="str">
        <f t="shared" si="63"/>
        <v/>
      </c>
      <c r="R106" s="39" t="str">
        <f t="shared" si="93"/>
        <v/>
      </c>
      <c r="S106" s="39" t="str">
        <f t="shared" si="85"/>
        <v/>
      </c>
      <c r="T106" s="41" t="str">
        <f t="shared" si="94"/>
        <v/>
      </c>
      <c r="V106" s="90"/>
      <c r="W106" s="79" t="e">
        <f t="shared" si="95"/>
        <v>#N/A</v>
      </c>
      <c r="X106" s="79" t="e">
        <f t="shared" si="96"/>
        <v>#N/A</v>
      </c>
      <c r="Y106" s="80" t="e">
        <f>IF(W106="","",VLOOKUP(W106,成長曲線_データ!$D$4:$AC$214,4,TRUE))</f>
        <v>#N/A</v>
      </c>
      <c r="Z106" s="80" t="e">
        <f>IF(W106="","",VLOOKUP(W106,成長曲線_データ!$D$4:$AC$214,12,TRUE))</f>
        <v>#N/A</v>
      </c>
      <c r="AA106" s="81" t="e">
        <f>IF(W106="","",VLOOKUP(W106,成長曲線_データ!$D$4:$AC$214,13,TRUE))</f>
        <v>#N/A</v>
      </c>
      <c r="AB106" s="94" t="e">
        <f t="shared" si="97"/>
        <v>#N/A</v>
      </c>
      <c r="AC106" s="82" t="e">
        <f>IF(W106&lt;0.5,NA(),VLOOKUP((W106+1/8),成長曲線_データ!$V$4:$AA$73,2,TRUE))</f>
        <v>#N/A</v>
      </c>
      <c r="AD106" s="82" t="e">
        <f>IF(W106&lt;1,NA(),VLOOKUP(W106,成長曲線_データ!$V$4:$AA$73,3,TRUE))</f>
        <v>#N/A</v>
      </c>
      <c r="AE106" s="82" t="e">
        <f>IF(W106&lt;=6.5,VLOOKUP(W106,頭囲データ!$C$10:$E$85,2,TRUE),NA())</f>
        <v>#N/A</v>
      </c>
      <c r="AF106" s="82" t="e">
        <f>IF(W106&lt;=6.5,VLOOKUP(W106,頭囲データ!$C$10:$E$85,3,TRUE),NA())</f>
        <v>#N/A</v>
      </c>
      <c r="AG106" s="89" t="str">
        <f>入力!F106&amp;"y"&amp;入力!G106&amp;"m"</f>
        <v>ym</v>
      </c>
      <c r="AH106" s="89" t="e">
        <f>IF(AND(入力!W106&gt;=1,入力!W106&lt;6,入力!B106&gt;=70,入力!B106&lt;=120),入力!B106,NA())</f>
        <v>#N/A</v>
      </c>
      <c r="AI106" s="89" t="e">
        <f>IF(AND(入力!W106&gt;=1,入力!W106&lt;6,入力!B106&gt;=70,入力!B106&lt;=120),入力!X106,NA())</f>
        <v>#N/A</v>
      </c>
      <c r="AJ106" s="89" t="e">
        <f>IF(AND(入力!W106&gt;=6,入力!B106&gt;=100,入力!B106&lt;=184),入力!B106,NA())</f>
        <v>#N/A</v>
      </c>
      <c r="AK106" s="89" t="e">
        <f>IF(AND(入力!W106&gt;=6,入力!B106&gt;=100,入力!B106&lt;=184),入力!X106,NA())</f>
        <v>#N/A</v>
      </c>
      <c r="AL106" s="82" t="e">
        <f t="shared" si="98"/>
        <v>#N/A</v>
      </c>
      <c r="AM106" s="82"/>
      <c r="AN106" s="80" t="e">
        <f t="shared" si="99"/>
        <v>#N/A</v>
      </c>
      <c r="AO106" s="80" t="e">
        <f t="shared" si="100"/>
        <v>#N/A</v>
      </c>
      <c r="AP106" s="81" t="e">
        <f t="shared" si="101"/>
        <v>#N/A</v>
      </c>
      <c r="AQ106" s="81" t="e">
        <f t="shared" si="102"/>
        <v>#VALUE!</v>
      </c>
      <c r="AR106" s="81" t="e">
        <f t="shared" si="103"/>
        <v>#N/A</v>
      </c>
      <c r="AS106" s="81" t="e">
        <f t="shared" si="104"/>
        <v>#N/A</v>
      </c>
      <c r="AT106" s="81" t="e">
        <f t="shared" si="105"/>
        <v>#N/A</v>
      </c>
      <c r="AU106" s="81" t="e">
        <f t="shared" si="106"/>
        <v>#N/A</v>
      </c>
      <c r="AV106" s="81" t="e">
        <f t="shared" si="107"/>
        <v>#N/A</v>
      </c>
      <c r="AW106" s="81" t="e">
        <f t="shared" si="108"/>
        <v>#N/A</v>
      </c>
      <c r="AX106" s="81" t="e">
        <f t="shared" si="109"/>
        <v>#N/A</v>
      </c>
      <c r="AY106" s="81" t="e">
        <f>VLOOKUP($W106,頭囲データ!$R$10:$W$11,3,TRUE)*$W106^3+VLOOKUP($W106,頭囲データ!$R$10:$W$11,4,TRUE)*$W106^2+VLOOKUP($W106,頭囲データ!$R$10:$W$11,5,TRUE)*$W106+VLOOKUP($W106,頭囲データ!$R$10:$W$11,6,TRUE)</f>
        <v>#N/A</v>
      </c>
      <c r="AZ106" s="81" t="e">
        <f>VLOOKUP($W106,頭囲データ!$R$12:$W$16,3,TRUE)*$W106^3+VLOOKUP($W106,頭囲データ!$R$12:$W$16,4,TRUE)*$W106^2+VLOOKUP($W106,頭囲データ!$R$12:$W$16,5,TRUE)*$W106+VLOOKUP($W106,頭囲データ!$R$12:$W$16,6,TRUE)</f>
        <v>#N/A</v>
      </c>
      <c r="BA106" s="81" t="e">
        <f>VLOOKUP($W106,頭囲データ!$R$17:$W$18,3,TRUE)*$W106^3+VLOOKUP($W106,頭囲データ!$R$17:$W$18,4,TRUE)*$W106^2+VLOOKUP($W106,頭囲データ!$R$17:$W$18,5,TRUE)*$W106+VLOOKUP($W106,頭囲データ!$R$17:$W$18,6,TRUE)</f>
        <v>#N/A</v>
      </c>
      <c r="BB106" s="81" t="e">
        <f t="shared" si="110"/>
        <v>#N/A</v>
      </c>
      <c r="BC106" s="81" t="e">
        <f>VLOOKUP($W106,胸囲データ!$R$10:$W$11,3,TRUE)*$W106^3+VLOOKUP($W106,胸囲データ!$R$10:$W$11,4,TRUE)*$W106^2+VLOOKUP($W106,胸囲データ!$R$10:$W$11,5,TRUE)*$W106+VLOOKUP($W106,胸囲データ!$R$10:$W$11,6,TRUE)</f>
        <v>#N/A</v>
      </c>
      <c r="BD106" s="81" t="e">
        <f>VLOOKUP($W106,胸囲データ!$R$12:$W$16,3,TRUE)*$W106^3+VLOOKUP($W106,胸囲データ!$R$12:$W$16,4,TRUE)*$W106^2+VLOOKUP($W106,胸囲データ!$R$12:$W$16,5,TRUE)*$W106+VLOOKUP($W106,胸囲データ!$R$12:$W$16,6,TRUE)</f>
        <v>#N/A</v>
      </c>
      <c r="BE106" s="81" t="e">
        <f>VLOOKUP($W106,胸囲データ!$R$17:$W$18,3,TRUE)*$W106^3+VLOOKUP($W106,胸囲データ!$R$17:$W$18,4,TRUE)*$W106^2+VLOOKUP($W106,胸囲データ!$R$17:$W$18,5,TRUE)*$W106+VLOOKUP($W106,胸囲データ!$R$17:$W$18,6,TRUE)</f>
        <v>#N/A</v>
      </c>
    </row>
    <row r="107" spans="1:57" x14ac:dyDescent="0.15">
      <c r="A107" s="35"/>
      <c r="B107" s="36"/>
      <c r="C107" s="36"/>
      <c r="D107" s="49"/>
      <c r="E107" s="76"/>
      <c r="F107" s="51" t="str">
        <f t="shared" si="86"/>
        <v/>
      </c>
      <c r="G107" s="37" t="str">
        <f t="shared" si="82"/>
        <v/>
      </c>
      <c r="H107" s="38" t="str">
        <f>IF(ISERROR(W107),"",VLOOKUP(W107,成長曲線_データ!$D$4:$AC$214,3,TRUE))</f>
        <v/>
      </c>
      <c r="I107" s="39" t="str">
        <f t="shared" si="88"/>
        <v/>
      </c>
      <c r="J107" s="39" t="str">
        <f t="shared" si="89"/>
        <v/>
      </c>
      <c r="K107" s="39" t="str">
        <f t="shared" si="90"/>
        <v/>
      </c>
      <c r="L107" s="39" t="str">
        <f t="shared" si="87"/>
        <v/>
      </c>
      <c r="M107" s="39" t="str">
        <f t="shared" si="83"/>
        <v/>
      </c>
      <c r="N107" s="39" t="str">
        <f t="shared" si="84"/>
        <v/>
      </c>
      <c r="O107" s="40" t="str">
        <f t="shared" si="91"/>
        <v/>
      </c>
      <c r="P107" s="40" t="str">
        <f t="shared" si="92"/>
        <v/>
      </c>
      <c r="Q107" s="39" t="str">
        <f t="shared" si="63"/>
        <v/>
      </c>
      <c r="R107" s="39" t="str">
        <f t="shared" si="93"/>
        <v/>
      </c>
      <c r="S107" s="39" t="str">
        <f t="shared" si="85"/>
        <v/>
      </c>
      <c r="T107" s="41" t="str">
        <f t="shared" si="94"/>
        <v/>
      </c>
      <c r="V107" s="90"/>
      <c r="W107" s="79" t="e">
        <f t="shared" si="95"/>
        <v>#N/A</v>
      </c>
      <c r="X107" s="79" t="e">
        <f t="shared" si="96"/>
        <v>#N/A</v>
      </c>
      <c r="Y107" s="80" t="e">
        <f>IF(W107="","",VLOOKUP(W107,成長曲線_データ!$D$4:$AC$214,4,TRUE))</f>
        <v>#N/A</v>
      </c>
      <c r="Z107" s="80" t="e">
        <f>IF(W107="","",VLOOKUP(W107,成長曲線_データ!$D$4:$AC$214,12,TRUE))</f>
        <v>#N/A</v>
      </c>
      <c r="AA107" s="81" t="e">
        <f>IF(W107="","",VLOOKUP(W107,成長曲線_データ!$D$4:$AC$214,13,TRUE))</f>
        <v>#N/A</v>
      </c>
      <c r="AB107" s="94" t="e">
        <f t="shared" si="97"/>
        <v>#N/A</v>
      </c>
      <c r="AC107" s="82" t="e">
        <f>IF(W107&lt;0.5,NA(),VLOOKUP((W107+1/8),成長曲線_データ!$V$4:$AA$73,2,TRUE))</f>
        <v>#N/A</v>
      </c>
      <c r="AD107" s="82" t="e">
        <f>IF(W107&lt;1,NA(),VLOOKUP(W107,成長曲線_データ!$V$4:$AA$73,3,TRUE))</f>
        <v>#N/A</v>
      </c>
      <c r="AE107" s="82" t="e">
        <f>IF(W107&lt;=6.5,VLOOKUP(W107,頭囲データ!$C$10:$E$85,2,TRUE),NA())</f>
        <v>#N/A</v>
      </c>
      <c r="AF107" s="82" t="e">
        <f>IF(W107&lt;=6.5,VLOOKUP(W107,頭囲データ!$C$10:$E$85,3,TRUE),NA())</f>
        <v>#N/A</v>
      </c>
      <c r="AG107" s="89" t="str">
        <f>入力!F107&amp;"y"&amp;入力!G107&amp;"m"</f>
        <v>ym</v>
      </c>
      <c r="AH107" s="89" t="e">
        <f>IF(AND(入力!W107&gt;=1,入力!W107&lt;6,入力!B107&gt;=70,入力!B107&lt;=120),入力!B107,NA())</f>
        <v>#N/A</v>
      </c>
      <c r="AI107" s="89" t="e">
        <f>IF(AND(入力!W107&gt;=1,入力!W107&lt;6,入力!B107&gt;=70,入力!B107&lt;=120),入力!X107,NA())</f>
        <v>#N/A</v>
      </c>
      <c r="AJ107" s="89" t="e">
        <f>IF(AND(入力!W107&gt;=6,入力!B107&gt;=100,入力!B107&lt;=184),入力!B107,NA())</f>
        <v>#N/A</v>
      </c>
      <c r="AK107" s="89" t="e">
        <f>IF(AND(入力!W107&gt;=6,入力!B107&gt;=100,入力!B107&lt;=184),入力!X107,NA())</f>
        <v>#N/A</v>
      </c>
      <c r="AL107" s="82" t="e">
        <f t="shared" si="98"/>
        <v>#N/A</v>
      </c>
      <c r="AM107" s="82"/>
      <c r="AN107" s="80" t="e">
        <f t="shared" si="99"/>
        <v>#N/A</v>
      </c>
      <c r="AO107" s="80" t="e">
        <f t="shared" si="100"/>
        <v>#N/A</v>
      </c>
      <c r="AP107" s="81" t="e">
        <f t="shared" si="101"/>
        <v>#N/A</v>
      </c>
      <c r="AQ107" s="81" t="e">
        <f t="shared" si="102"/>
        <v>#VALUE!</v>
      </c>
      <c r="AR107" s="81" t="e">
        <f t="shared" si="103"/>
        <v>#N/A</v>
      </c>
      <c r="AS107" s="81" t="e">
        <f t="shared" si="104"/>
        <v>#N/A</v>
      </c>
      <c r="AT107" s="81" t="e">
        <f t="shared" si="105"/>
        <v>#N/A</v>
      </c>
      <c r="AU107" s="81" t="e">
        <f t="shared" si="106"/>
        <v>#N/A</v>
      </c>
      <c r="AV107" s="81" t="e">
        <f t="shared" si="107"/>
        <v>#N/A</v>
      </c>
      <c r="AW107" s="81" t="e">
        <f t="shared" si="108"/>
        <v>#N/A</v>
      </c>
      <c r="AX107" s="81" t="e">
        <f t="shared" si="109"/>
        <v>#N/A</v>
      </c>
      <c r="AY107" s="81" t="e">
        <f>VLOOKUP($W107,頭囲データ!$R$10:$W$11,3,TRUE)*$W107^3+VLOOKUP($W107,頭囲データ!$R$10:$W$11,4,TRUE)*$W107^2+VLOOKUP($W107,頭囲データ!$R$10:$W$11,5,TRUE)*$W107+VLOOKUP($W107,頭囲データ!$R$10:$W$11,6,TRUE)</f>
        <v>#N/A</v>
      </c>
      <c r="AZ107" s="81" t="e">
        <f>VLOOKUP($W107,頭囲データ!$R$12:$W$16,3,TRUE)*$W107^3+VLOOKUP($W107,頭囲データ!$R$12:$W$16,4,TRUE)*$W107^2+VLOOKUP($W107,頭囲データ!$R$12:$W$16,5,TRUE)*$W107+VLOOKUP($W107,頭囲データ!$R$12:$W$16,6,TRUE)</f>
        <v>#N/A</v>
      </c>
      <c r="BA107" s="81" t="e">
        <f>VLOOKUP($W107,頭囲データ!$R$17:$W$18,3,TRUE)*$W107^3+VLOOKUP($W107,頭囲データ!$R$17:$W$18,4,TRUE)*$W107^2+VLOOKUP($W107,頭囲データ!$R$17:$W$18,5,TRUE)*$W107+VLOOKUP($W107,頭囲データ!$R$17:$W$18,6,TRUE)</f>
        <v>#N/A</v>
      </c>
      <c r="BB107" s="81" t="e">
        <f t="shared" si="110"/>
        <v>#N/A</v>
      </c>
      <c r="BC107" s="81" t="e">
        <f>VLOOKUP($W107,胸囲データ!$R$10:$W$11,3,TRUE)*$W107^3+VLOOKUP($W107,胸囲データ!$R$10:$W$11,4,TRUE)*$W107^2+VLOOKUP($W107,胸囲データ!$R$10:$W$11,5,TRUE)*$W107+VLOOKUP($W107,胸囲データ!$R$10:$W$11,6,TRUE)</f>
        <v>#N/A</v>
      </c>
      <c r="BD107" s="81" t="e">
        <f>VLOOKUP($W107,胸囲データ!$R$12:$W$16,3,TRUE)*$W107^3+VLOOKUP($W107,胸囲データ!$R$12:$W$16,4,TRUE)*$W107^2+VLOOKUP($W107,胸囲データ!$R$12:$W$16,5,TRUE)*$W107+VLOOKUP($W107,胸囲データ!$R$12:$W$16,6,TRUE)</f>
        <v>#N/A</v>
      </c>
      <c r="BE107" s="81" t="e">
        <f>VLOOKUP($W107,胸囲データ!$R$17:$W$18,3,TRUE)*$W107^3+VLOOKUP($W107,胸囲データ!$R$17:$W$18,4,TRUE)*$W107^2+VLOOKUP($W107,胸囲データ!$R$17:$W$18,5,TRUE)*$W107+VLOOKUP($W107,胸囲データ!$R$17:$W$18,6,TRUE)</f>
        <v>#N/A</v>
      </c>
    </row>
    <row r="108" spans="1:57" x14ac:dyDescent="0.15">
      <c r="A108" s="35"/>
      <c r="B108" s="36"/>
      <c r="C108" s="36"/>
      <c r="D108" s="49"/>
      <c r="E108" s="76"/>
      <c r="F108" s="51" t="str">
        <f t="shared" si="86"/>
        <v/>
      </c>
      <c r="G108" s="37" t="str">
        <f t="shared" si="82"/>
        <v/>
      </c>
      <c r="H108" s="38" t="str">
        <f>IF(ISERROR(W108),"",VLOOKUP(W108,成長曲線_データ!$D$4:$AC$214,3,TRUE))</f>
        <v/>
      </c>
      <c r="I108" s="39" t="str">
        <f t="shared" si="88"/>
        <v/>
      </c>
      <c r="J108" s="39" t="str">
        <f t="shared" si="89"/>
        <v/>
      </c>
      <c r="K108" s="39" t="str">
        <f t="shared" si="90"/>
        <v/>
      </c>
      <c r="L108" s="39" t="str">
        <f t="shared" si="87"/>
        <v/>
      </c>
      <c r="M108" s="39" t="str">
        <f t="shared" si="83"/>
        <v/>
      </c>
      <c r="N108" s="39" t="str">
        <f t="shared" si="84"/>
        <v/>
      </c>
      <c r="O108" s="40" t="str">
        <f t="shared" si="91"/>
        <v/>
      </c>
      <c r="P108" s="40" t="str">
        <f t="shared" si="92"/>
        <v/>
      </c>
      <c r="Q108" s="39" t="str">
        <f t="shared" si="63"/>
        <v/>
      </c>
      <c r="R108" s="39" t="str">
        <f t="shared" si="93"/>
        <v/>
      </c>
      <c r="S108" s="39" t="str">
        <f t="shared" si="85"/>
        <v/>
      </c>
      <c r="T108" s="41" t="str">
        <f t="shared" si="94"/>
        <v/>
      </c>
      <c r="V108" s="90"/>
      <c r="W108" s="79" t="e">
        <f t="shared" si="95"/>
        <v>#N/A</v>
      </c>
      <c r="X108" s="79" t="e">
        <f t="shared" si="96"/>
        <v>#N/A</v>
      </c>
      <c r="Y108" s="80" t="e">
        <f>IF(W108="","",VLOOKUP(W108,成長曲線_データ!$D$4:$AC$214,4,TRUE))</f>
        <v>#N/A</v>
      </c>
      <c r="Z108" s="80" t="e">
        <f>IF(W108="","",VLOOKUP(W108,成長曲線_データ!$D$4:$AC$214,12,TRUE))</f>
        <v>#N/A</v>
      </c>
      <c r="AA108" s="81" t="e">
        <f>IF(W108="","",VLOOKUP(W108,成長曲線_データ!$D$4:$AC$214,13,TRUE))</f>
        <v>#N/A</v>
      </c>
      <c r="AB108" s="94" t="e">
        <f t="shared" si="97"/>
        <v>#N/A</v>
      </c>
      <c r="AC108" s="82" t="e">
        <f>IF(W108&lt;0.5,NA(),VLOOKUP((W108+1/8),成長曲線_データ!$V$4:$AA$73,2,TRUE))</f>
        <v>#N/A</v>
      </c>
      <c r="AD108" s="82" t="e">
        <f>IF(W108&lt;1,NA(),VLOOKUP(W108,成長曲線_データ!$V$4:$AA$73,3,TRUE))</f>
        <v>#N/A</v>
      </c>
      <c r="AE108" s="82" t="e">
        <f>IF(W108&lt;=6.5,VLOOKUP(W108,頭囲データ!$C$10:$E$85,2,TRUE),NA())</f>
        <v>#N/A</v>
      </c>
      <c r="AF108" s="82" t="e">
        <f>IF(W108&lt;=6.5,VLOOKUP(W108,頭囲データ!$C$10:$E$85,3,TRUE),NA())</f>
        <v>#N/A</v>
      </c>
      <c r="AG108" s="89" t="str">
        <f>入力!F108&amp;"y"&amp;入力!G108&amp;"m"</f>
        <v>ym</v>
      </c>
      <c r="AH108" s="89" t="e">
        <f>IF(AND(入力!W108&gt;=1,入力!W108&lt;6,入力!B108&gt;=70,入力!B108&lt;=120),入力!B108,NA())</f>
        <v>#N/A</v>
      </c>
      <c r="AI108" s="89" t="e">
        <f>IF(AND(入力!W108&gt;=1,入力!W108&lt;6,入力!B108&gt;=70,入力!B108&lt;=120),入力!X108,NA())</f>
        <v>#N/A</v>
      </c>
      <c r="AJ108" s="89" t="e">
        <f>IF(AND(入力!W108&gt;=6,入力!B108&gt;=100,入力!B108&lt;=184),入力!B108,NA())</f>
        <v>#N/A</v>
      </c>
      <c r="AK108" s="89" t="e">
        <f>IF(AND(入力!W108&gt;=6,入力!B108&gt;=100,入力!B108&lt;=184),入力!X108,NA())</f>
        <v>#N/A</v>
      </c>
      <c r="AL108" s="82" t="e">
        <f t="shared" si="98"/>
        <v>#N/A</v>
      </c>
      <c r="AM108" s="82"/>
      <c r="AN108" s="80" t="e">
        <f t="shared" si="99"/>
        <v>#N/A</v>
      </c>
      <c r="AO108" s="80" t="e">
        <f t="shared" si="100"/>
        <v>#N/A</v>
      </c>
      <c r="AP108" s="81" t="e">
        <f t="shared" si="101"/>
        <v>#N/A</v>
      </c>
      <c r="AQ108" s="81" t="e">
        <f t="shared" si="102"/>
        <v>#VALUE!</v>
      </c>
      <c r="AR108" s="81" t="e">
        <f t="shared" si="103"/>
        <v>#N/A</v>
      </c>
      <c r="AS108" s="81" t="e">
        <f t="shared" si="104"/>
        <v>#N/A</v>
      </c>
      <c r="AT108" s="81" t="e">
        <f t="shared" si="105"/>
        <v>#N/A</v>
      </c>
      <c r="AU108" s="81" t="e">
        <f t="shared" si="106"/>
        <v>#N/A</v>
      </c>
      <c r="AV108" s="81" t="e">
        <f t="shared" si="107"/>
        <v>#N/A</v>
      </c>
      <c r="AW108" s="81" t="e">
        <f t="shared" si="108"/>
        <v>#N/A</v>
      </c>
      <c r="AX108" s="81" t="e">
        <f t="shared" si="109"/>
        <v>#N/A</v>
      </c>
      <c r="AY108" s="81" t="e">
        <f>VLOOKUP($W108,頭囲データ!$R$10:$W$11,3,TRUE)*$W108^3+VLOOKUP($W108,頭囲データ!$R$10:$W$11,4,TRUE)*$W108^2+VLOOKUP($W108,頭囲データ!$R$10:$W$11,5,TRUE)*$W108+VLOOKUP($W108,頭囲データ!$R$10:$W$11,6,TRUE)</f>
        <v>#N/A</v>
      </c>
      <c r="AZ108" s="81" t="e">
        <f>VLOOKUP($W108,頭囲データ!$R$12:$W$16,3,TRUE)*$W108^3+VLOOKUP($W108,頭囲データ!$R$12:$W$16,4,TRUE)*$W108^2+VLOOKUP($W108,頭囲データ!$R$12:$W$16,5,TRUE)*$W108+VLOOKUP($W108,頭囲データ!$R$12:$W$16,6,TRUE)</f>
        <v>#N/A</v>
      </c>
      <c r="BA108" s="81" t="e">
        <f>VLOOKUP($W108,頭囲データ!$R$17:$W$18,3,TRUE)*$W108^3+VLOOKUP($W108,頭囲データ!$R$17:$W$18,4,TRUE)*$W108^2+VLOOKUP($W108,頭囲データ!$R$17:$W$18,5,TRUE)*$W108+VLOOKUP($W108,頭囲データ!$R$17:$W$18,6,TRUE)</f>
        <v>#N/A</v>
      </c>
      <c r="BB108" s="81" t="e">
        <f t="shared" si="110"/>
        <v>#N/A</v>
      </c>
      <c r="BC108" s="81" t="e">
        <f>VLOOKUP($W108,胸囲データ!$R$10:$W$11,3,TRUE)*$W108^3+VLOOKUP($W108,胸囲データ!$R$10:$W$11,4,TRUE)*$W108^2+VLOOKUP($W108,胸囲データ!$R$10:$W$11,5,TRUE)*$W108+VLOOKUP($W108,胸囲データ!$R$10:$W$11,6,TRUE)</f>
        <v>#N/A</v>
      </c>
      <c r="BD108" s="81" t="e">
        <f>VLOOKUP($W108,胸囲データ!$R$12:$W$16,3,TRUE)*$W108^3+VLOOKUP($W108,胸囲データ!$R$12:$W$16,4,TRUE)*$W108^2+VLOOKUP($W108,胸囲データ!$R$12:$W$16,5,TRUE)*$W108+VLOOKUP($W108,胸囲データ!$R$12:$W$16,6,TRUE)</f>
        <v>#N/A</v>
      </c>
      <c r="BE108" s="81" t="e">
        <f>VLOOKUP($W108,胸囲データ!$R$17:$W$18,3,TRUE)*$W108^3+VLOOKUP($W108,胸囲データ!$R$17:$W$18,4,TRUE)*$W108^2+VLOOKUP($W108,胸囲データ!$R$17:$W$18,5,TRUE)*$W108+VLOOKUP($W108,胸囲データ!$R$17:$W$18,6,TRUE)</f>
        <v>#N/A</v>
      </c>
    </row>
    <row r="109" spans="1:57" x14ac:dyDescent="0.15">
      <c r="A109" s="35"/>
      <c r="B109" s="36"/>
      <c r="C109" s="36"/>
      <c r="D109" s="49"/>
      <c r="E109" s="76"/>
      <c r="F109" s="51" t="str">
        <f t="shared" si="86"/>
        <v/>
      </c>
      <c r="G109" s="37" t="str">
        <f t="shared" si="82"/>
        <v/>
      </c>
      <c r="H109" s="38" t="str">
        <f>IF(ISERROR(W109),"",VLOOKUP(W109,成長曲線_データ!$D$4:$AC$214,3,TRUE))</f>
        <v/>
      </c>
      <c r="I109" s="39" t="str">
        <f t="shared" si="88"/>
        <v/>
      </c>
      <c r="J109" s="39" t="str">
        <f t="shared" si="89"/>
        <v/>
      </c>
      <c r="K109" s="39" t="str">
        <f t="shared" si="90"/>
        <v/>
      </c>
      <c r="L109" s="39" t="str">
        <f t="shared" si="87"/>
        <v/>
      </c>
      <c r="M109" s="39" t="str">
        <f t="shared" si="83"/>
        <v/>
      </c>
      <c r="N109" s="39" t="str">
        <f t="shared" si="84"/>
        <v/>
      </c>
      <c r="O109" s="40" t="str">
        <f t="shared" si="91"/>
        <v/>
      </c>
      <c r="P109" s="40" t="str">
        <f t="shared" si="92"/>
        <v/>
      </c>
      <c r="Q109" s="39" t="str">
        <f t="shared" si="63"/>
        <v/>
      </c>
      <c r="R109" s="39" t="str">
        <f t="shared" si="93"/>
        <v/>
      </c>
      <c r="S109" s="39" t="str">
        <f t="shared" si="85"/>
        <v/>
      </c>
      <c r="T109" s="41" t="str">
        <f t="shared" si="94"/>
        <v/>
      </c>
      <c r="V109" s="90"/>
      <c r="W109" s="79" t="e">
        <f t="shared" si="95"/>
        <v>#N/A</v>
      </c>
      <c r="X109" s="79" t="e">
        <f t="shared" si="96"/>
        <v>#N/A</v>
      </c>
      <c r="Y109" s="80" t="e">
        <f>IF(W109="","",VLOOKUP(W109,成長曲線_データ!$D$4:$AC$214,4,TRUE))</f>
        <v>#N/A</v>
      </c>
      <c r="Z109" s="80" t="e">
        <f>IF(W109="","",VLOOKUP(W109,成長曲線_データ!$D$4:$AC$214,12,TRUE))</f>
        <v>#N/A</v>
      </c>
      <c r="AA109" s="81" t="e">
        <f>IF(W109="","",VLOOKUP(W109,成長曲線_データ!$D$4:$AC$214,13,TRUE))</f>
        <v>#N/A</v>
      </c>
      <c r="AB109" s="94" t="e">
        <f t="shared" si="97"/>
        <v>#N/A</v>
      </c>
      <c r="AC109" s="82" t="e">
        <f>IF(W109&lt;0.5,NA(),VLOOKUP((W109+1/8),成長曲線_データ!$V$4:$AA$73,2,TRUE))</f>
        <v>#N/A</v>
      </c>
      <c r="AD109" s="82" t="e">
        <f>IF(W109&lt;1,NA(),VLOOKUP(W109,成長曲線_データ!$V$4:$AA$73,3,TRUE))</f>
        <v>#N/A</v>
      </c>
      <c r="AE109" s="82" t="e">
        <f>IF(W109&lt;=6.5,VLOOKUP(W109,頭囲データ!$C$10:$E$85,2,TRUE),NA())</f>
        <v>#N/A</v>
      </c>
      <c r="AF109" s="82" t="e">
        <f>IF(W109&lt;=6.5,VLOOKUP(W109,頭囲データ!$C$10:$E$85,3,TRUE),NA())</f>
        <v>#N/A</v>
      </c>
      <c r="AG109" s="89" t="str">
        <f>入力!F109&amp;"y"&amp;入力!G109&amp;"m"</f>
        <v>ym</v>
      </c>
      <c r="AH109" s="89" t="e">
        <f>IF(AND(入力!W109&gt;=1,入力!W109&lt;6,入力!B109&gt;=70,入力!B109&lt;=120),入力!B109,NA())</f>
        <v>#N/A</v>
      </c>
      <c r="AI109" s="89" t="e">
        <f>IF(AND(入力!W109&gt;=1,入力!W109&lt;6,入力!B109&gt;=70,入力!B109&lt;=120),入力!X109,NA())</f>
        <v>#N/A</v>
      </c>
      <c r="AJ109" s="89" t="e">
        <f>IF(AND(入力!W109&gt;=6,入力!B109&gt;=100,入力!B109&lt;=184),入力!B109,NA())</f>
        <v>#N/A</v>
      </c>
      <c r="AK109" s="89" t="e">
        <f>IF(AND(入力!W109&gt;=6,入力!B109&gt;=100,入力!B109&lt;=184),入力!X109,NA())</f>
        <v>#N/A</v>
      </c>
      <c r="AL109" s="82" t="e">
        <f t="shared" si="98"/>
        <v>#N/A</v>
      </c>
      <c r="AM109" s="82"/>
      <c r="AN109" s="80" t="e">
        <f t="shared" si="99"/>
        <v>#N/A</v>
      </c>
      <c r="AO109" s="80" t="e">
        <f t="shared" si="100"/>
        <v>#N/A</v>
      </c>
      <c r="AP109" s="81" t="e">
        <f t="shared" si="101"/>
        <v>#N/A</v>
      </c>
      <c r="AQ109" s="81" t="e">
        <f t="shared" si="102"/>
        <v>#VALUE!</v>
      </c>
      <c r="AR109" s="81" t="e">
        <f t="shared" si="103"/>
        <v>#N/A</v>
      </c>
      <c r="AS109" s="81" t="e">
        <f t="shared" si="104"/>
        <v>#N/A</v>
      </c>
      <c r="AT109" s="81" t="e">
        <f t="shared" si="105"/>
        <v>#N/A</v>
      </c>
      <c r="AU109" s="81" t="e">
        <f t="shared" si="106"/>
        <v>#N/A</v>
      </c>
      <c r="AV109" s="81" t="e">
        <f t="shared" si="107"/>
        <v>#N/A</v>
      </c>
      <c r="AW109" s="81" t="e">
        <f t="shared" si="108"/>
        <v>#N/A</v>
      </c>
      <c r="AX109" s="81" t="e">
        <f t="shared" si="109"/>
        <v>#N/A</v>
      </c>
      <c r="AY109" s="81" t="e">
        <f>VLOOKUP($W109,頭囲データ!$R$10:$W$11,3,TRUE)*$W109^3+VLOOKUP($W109,頭囲データ!$R$10:$W$11,4,TRUE)*$W109^2+VLOOKUP($W109,頭囲データ!$R$10:$W$11,5,TRUE)*$W109+VLOOKUP($W109,頭囲データ!$R$10:$W$11,6,TRUE)</f>
        <v>#N/A</v>
      </c>
      <c r="AZ109" s="81" t="e">
        <f>VLOOKUP($W109,頭囲データ!$R$12:$W$16,3,TRUE)*$W109^3+VLOOKUP($W109,頭囲データ!$R$12:$W$16,4,TRUE)*$W109^2+VLOOKUP($W109,頭囲データ!$R$12:$W$16,5,TRUE)*$W109+VLOOKUP($W109,頭囲データ!$R$12:$W$16,6,TRUE)</f>
        <v>#N/A</v>
      </c>
      <c r="BA109" s="81" t="e">
        <f>VLOOKUP($W109,頭囲データ!$R$17:$W$18,3,TRUE)*$W109^3+VLOOKUP($W109,頭囲データ!$R$17:$W$18,4,TRUE)*$W109^2+VLOOKUP($W109,頭囲データ!$R$17:$W$18,5,TRUE)*$W109+VLOOKUP($W109,頭囲データ!$R$17:$W$18,6,TRUE)</f>
        <v>#N/A</v>
      </c>
      <c r="BB109" s="81" t="e">
        <f t="shared" si="110"/>
        <v>#N/A</v>
      </c>
      <c r="BC109" s="81" t="e">
        <f>VLOOKUP($W109,胸囲データ!$R$10:$W$11,3,TRUE)*$W109^3+VLOOKUP($W109,胸囲データ!$R$10:$W$11,4,TRUE)*$W109^2+VLOOKUP($W109,胸囲データ!$R$10:$W$11,5,TRUE)*$W109+VLOOKUP($W109,胸囲データ!$R$10:$W$11,6,TRUE)</f>
        <v>#N/A</v>
      </c>
      <c r="BD109" s="81" t="e">
        <f>VLOOKUP($W109,胸囲データ!$R$12:$W$16,3,TRUE)*$W109^3+VLOOKUP($W109,胸囲データ!$R$12:$W$16,4,TRUE)*$W109^2+VLOOKUP($W109,胸囲データ!$R$12:$W$16,5,TRUE)*$W109+VLOOKUP($W109,胸囲データ!$R$12:$W$16,6,TRUE)</f>
        <v>#N/A</v>
      </c>
      <c r="BE109" s="81" t="e">
        <f>VLOOKUP($W109,胸囲データ!$R$17:$W$18,3,TRUE)*$W109^3+VLOOKUP($W109,胸囲データ!$R$17:$W$18,4,TRUE)*$W109^2+VLOOKUP($W109,胸囲データ!$R$17:$W$18,5,TRUE)*$W109+VLOOKUP($W109,胸囲データ!$R$17:$W$18,6,TRUE)</f>
        <v>#N/A</v>
      </c>
    </row>
    <row r="110" spans="1:57" x14ac:dyDescent="0.15">
      <c r="A110" s="35"/>
      <c r="B110" s="36"/>
      <c r="C110" s="36"/>
      <c r="D110" s="49"/>
      <c r="E110" s="76"/>
      <c r="F110" s="51" t="str">
        <f t="shared" si="86"/>
        <v/>
      </c>
      <c r="G110" s="37" t="str">
        <f t="shared" si="82"/>
        <v/>
      </c>
      <c r="H110" s="38" t="str">
        <f>IF(ISERROR(W110),"",VLOOKUP(W110,成長曲線_データ!$D$4:$AC$214,3,TRUE))</f>
        <v/>
      </c>
      <c r="I110" s="39" t="str">
        <f t="shared" si="88"/>
        <v/>
      </c>
      <c r="J110" s="39" t="str">
        <f t="shared" si="89"/>
        <v/>
      </c>
      <c r="K110" s="39" t="str">
        <f t="shared" si="90"/>
        <v/>
      </c>
      <c r="L110" s="39" t="str">
        <f t="shared" si="87"/>
        <v/>
      </c>
      <c r="M110" s="39" t="str">
        <f t="shared" si="83"/>
        <v/>
      </c>
      <c r="N110" s="39" t="str">
        <f t="shared" si="84"/>
        <v/>
      </c>
      <c r="O110" s="40" t="str">
        <f t="shared" si="91"/>
        <v/>
      </c>
      <c r="P110" s="40" t="str">
        <f t="shared" si="92"/>
        <v/>
      </c>
      <c r="Q110" s="39" t="str">
        <f t="shared" si="63"/>
        <v/>
      </c>
      <c r="R110" s="39" t="str">
        <f t="shared" si="93"/>
        <v/>
      </c>
      <c r="S110" s="39" t="str">
        <f t="shared" si="85"/>
        <v/>
      </c>
      <c r="T110" s="41" t="str">
        <f t="shared" si="94"/>
        <v/>
      </c>
      <c r="V110" s="90"/>
      <c r="W110" s="79" t="e">
        <f t="shared" si="95"/>
        <v>#N/A</v>
      </c>
      <c r="X110" s="79" t="e">
        <f t="shared" si="96"/>
        <v>#N/A</v>
      </c>
      <c r="Y110" s="80" t="e">
        <f>IF(W110="","",VLOOKUP(W110,成長曲線_データ!$D$4:$AC$214,4,TRUE))</f>
        <v>#N/A</v>
      </c>
      <c r="Z110" s="80" t="e">
        <f>IF(W110="","",VLOOKUP(W110,成長曲線_データ!$D$4:$AC$214,12,TRUE))</f>
        <v>#N/A</v>
      </c>
      <c r="AA110" s="81" t="e">
        <f>IF(W110="","",VLOOKUP(W110,成長曲線_データ!$D$4:$AC$214,13,TRUE))</f>
        <v>#N/A</v>
      </c>
      <c r="AB110" s="94" t="e">
        <f t="shared" si="97"/>
        <v>#N/A</v>
      </c>
      <c r="AC110" s="82" t="e">
        <f>IF(W110&lt;0.5,NA(),VLOOKUP((W110+1/8),成長曲線_データ!$V$4:$AA$73,2,TRUE))</f>
        <v>#N/A</v>
      </c>
      <c r="AD110" s="82" t="e">
        <f>IF(W110&lt;1,NA(),VLOOKUP(W110,成長曲線_データ!$V$4:$AA$73,3,TRUE))</f>
        <v>#N/A</v>
      </c>
      <c r="AE110" s="82" t="e">
        <f>IF(W110&lt;=6.5,VLOOKUP(W110,頭囲データ!$C$10:$E$85,2,TRUE),NA())</f>
        <v>#N/A</v>
      </c>
      <c r="AF110" s="82" t="e">
        <f>IF(W110&lt;=6.5,VLOOKUP(W110,頭囲データ!$C$10:$E$85,3,TRUE),NA())</f>
        <v>#N/A</v>
      </c>
      <c r="AG110" s="89" t="str">
        <f>入力!F110&amp;"y"&amp;入力!G110&amp;"m"</f>
        <v>ym</v>
      </c>
      <c r="AH110" s="89" t="e">
        <f>IF(AND(入力!W110&gt;=1,入力!W110&lt;6,入力!B110&gt;=70,入力!B110&lt;=120),入力!B110,NA())</f>
        <v>#N/A</v>
      </c>
      <c r="AI110" s="89" t="e">
        <f>IF(AND(入力!W110&gt;=1,入力!W110&lt;6,入力!B110&gt;=70,入力!B110&lt;=120),入力!X110,NA())</f>
        <v>#N/A</v>
      </c>
      <c r="AJ110" s="89" t="e">
        <f>IF(AND(入力!W110&gt;=6,入力!B110&gt;=100,入力!B110&lt;=184),入力!B110,NA())</f>
        <v>#N/A</v>
      </c>
      <c r="AK110" s="89" t="e">
        <f>IF(AND(入力!W110&gt;=6,入力!B110&gt;=100,入力!B110&lt;=184),入力!X110,NA())</f>
        <v>#N/A</v>
      </c>
      <c r="AL110" s="82" t="e">
        <f t="shared" si="98"/>
        <v>#N/A</v>
      </c>
      <c r="AM110" s="82"/>
      <c r="AN110" s="80" t="e">
        <f t="shared" si="99"/>
        <v>#N/A</v>
      </c>
      <c r="AO110" s="80" t="e">
        <f t="shared" si="100"/>
        <v>#N/A</v>
      </c>
      <c r="AP110" s="81" t="e">
        <f t="shared" si="101"/>
        <v>#N/A</v>
      </c>
      <c r="AQ110" s="81" t="e">
        <f t="shared" si="102"/>
        <v>#VALUE!</v>
      </c>
      <c r="AR110" s="81" t="e">
        <f t="shared" si="103"/>
        <v>#N/A</v>
      </c>
      <c r="AS110" s="81" t="e">
        <f t="shared" si="104"/>
        <v>#N/A</v>
      </c>
      <c r="AT110" s="81" t="e">
        <f t="shared" si="105"/>
        <v>#N/A</v>
      </c>
      <c r="AU110" s="81" t="e">
        <f t="shared" si="106"/>
        <v>#N/A</v>
      </c>
      <c r="AV110" s="81" t="e">
        <f t="shared" si="107"/>
        <v>#N/A</v>
      </c>
      <c r="AW110" s="81" t="e">
        <f t="shared" si="108"/>
        <v>#N/A</v>
      </c>
      <c r="AX110" s="81" t="e">
        <f t="shared" si="109"/>
        <v>#N/A</v>
      </c>
      <c r="AY110" s="81" t="e">
        <f>VLOOKUP($W110,頭囲データ!$R$10:$W$11,3,TRUE)*$W110^3+VLOOKUP($W110,頭囲データ!$R$10:$W$11,4,TRUE)*$W110^2+VLOOKUP($W110,頭囲データ!$R$10:$W$11,5,TRUE)*$W110+VLOOKUP($W110,頭囲データ!$R$10:$W$11,6,TRUE)</f>
        <v>#N/A</v>
      </c>
      <c r="AZ110" s="81" t="e">
        <f>VLOOKUP($W110,頭囲データ!$R$12:$W$16,3,TRUE)*$W110^3+VLOOKUP($W110,頭囲データ!$R$12:$W$16,4,TRUE)*$W110^2+VLOOKUP($W110,頭囲データ!$R$12:$W$16,5,TRUE)*$W110+VLOOKUP($W110,頭囲データ!$R$12:$W$16,6,TRUE)</f>
        <v>#N/A</v>
      </c>
      <c r="BA110" s="81" t="e">
        <f>VLOOKUP($W110,頭囲データ!$R$17:$W$18,3,TRUE)*$W110^3+VLOOKUP($W110,頭囲データ!$R$17:$W$18,4,TRUE)*$W110^2+VLOOKUP($W110,頭囲データ!$R$17:$W$18,5,TRUE)*$W110+VLOOKUP($W110,頭囲データ!$R$17:$W$18,6,TRUE)</f>
        <v>#N/A</v>
      </c>
      <c r="BB110" s="81" t="e">
        <f t="shared" si="110"/>
        <v>#N/A</v>
      </c>
      <c r="BC110" s="81" t="e">
        <f>VLOOKUP($W110,胸囲データ!$R$10:$W$11,3,TRUE)*$W110^3+VLOOKUP($W110,胸囲データ!$R$10:$W$11,4,TRUE)*$W110^2+VLOOKUP($W110,胸囲データ!$R$10:$W$11,5,TRUE)*$W110+VLOOKUP($W110,胸囲データ!$R$10:$W$11,6,TRUE)</f>
        <v>#N/A</v>
      </c>
      <c r="BD110" s="81" t="e">
        <f>VLOOKUP($W110,胸囲データ!$R$12:$W$16,3,TRUE)*$W110^3+VLOOKUP($W110,胸囲データ!$R$12:$W$16,4,TRUE)*$W110^2+VLOOKUP($W110,胸囲データ!$R$12:$W$16,5,TRUE)*$W110+VLOOKUP($W110,胸囲データ!$R$12:$W$16,6,TRUE)</f>
        <v>#N/A</v>
      </c>
      <c r="BE110" s="81" t="e">
        <f>VLOOKUP($W110,胸囲データ!$R$17:$W$18,3,TRUE)*$W110^3+VLOOKUP($W110,胸囲データ!$R$17:$W$18,4,TRUE)*$W110^2+VLOOKUP($W110,胸囲データ!$R$17:$W$18,5,TRUE)*$W110+VLOOKUP($W110,胸囲データ!$R$17:$W$18,6,TRUE)</f>
        <v>#N/A</v>
      </c>
    </row>
    <row r="111" spans="1:57" x14ac:dyDescent="0.15">
      <c r="A111" s="35"/>
      <c r="B111" s="36"/>
      <c r="C111" s="36"/>
      <c r="D111" s="49"/>
      <c r="E111" s="76"/>
      <c r="F111" s="51" t="str">
        <f t="shared" si="86"/>
        <v/>
      </c>
      <c r="G111" s="37" t="str">
        <f t="shared" si="82"/>
        <v/>
      </c>
      <c r="H111" s="38" t="str">
        <f>IF(ISERROR(W111),"",VLOOKUP(W111,成長曲線_データ!$D$4:$AC$214,3,TRUE))</f>
        <v/>
      </c>
      <c r="I111" s="39" t="str">
        <f t="shared" si="88"/>
        <v/>
      </c>
      <c r="J111" s="39" t="str">
        <f t="shared" si="89"/>
        <v/>
      </c>
      <c r="K111" s="39" t="str">
        <f t="shared" si="90"/>
        <v/>
      </c>
      <c r="L111" s="39" t="str">
        <f t="shared" si="87"/>
        <v/>
      </c>
      <c r="M111" s="39" t="str">
        <f t="shared" si="83"/>
        <v/>
      </c>
      <c r="N111" s="39" t="str">
        <f t="shared" si="84"/>
        <v/>
      </c>
      <c r="O111" s="40" t="str">
        <f t="shared" si="91"/>
        <v/>
      </c>
      <c r="P111" s="40" t="str">
        <f t="shared" si="92"/>
        <v/>
      </c>
      <c r="Q111" s="39" t="str">
        <f t="shared" si="63"/>
        <v/>
      </c>
      <c r="R111" s="39" t="str">
        <f t="shared" si="93"/>
        <v/>
      </c>
      <c r="S111" s="39" t="str">
        <f t="shared" si="85"/>
        <v/>
      </c>
      <c r="T111" s="41" t="str">
        <f t="shared" si="94"/>
        <v/>
      </c>
      <c r="V111" s="90"/>
      <c r="W111" s="79" t="e">
        <f t="shared" si="95"/>
        <v>#N/A</v>
      </c>
      <c r="X111" s="79" t="e">
        <f t="shared" si="96"/>
        <v>#N/A</v>
      </c>
      <c r="Y111" s="80" t="e">
        <f>IF(W111="","",VLOOKUP(W111,成長曲線_データ!$D$4:$AC$214,4,TRUE))</f>
        <v>#N/A</v>
      </c>
      <c r="Z111" s="80" t="e">
        <f>IF(W111="","",VLOOKUP(W111,成長曲線_データ!$D$4:$AC$214,12,TRUE))</f>
        <v>#N/A</v>
      </c>
      <c r="AA111" s="81" t="e">
        <f>IF(W111="","",VLOOKUP(W111,成長曲線_データ!$D$4:$AC$214,13,TRUE))</f>
        <v>#N/A</v>
      </c>
      <c r="AB111" s="94" t="e">
        <f t="shared" si="97"/>
        <v>#N/A</v>
      </c>
      <c r="AC111" s="82" t="e">
        <f>IF(W111&lt;0.5,NA(),VLOOKUP((W111+1/8),成長曲線_データ!$V$4:$AA$73,2,TRUE))</f>
        <v>#N/A</v>
      </c>
      <c r="AD111" s="82" t="e">
        <f>IF(W111&lt;1,NA(),VLOOKUP(W111,成長曲線_データ!$V$4:$AA$73,3,TRUE))</f>
        <v>#N/A</v>
      </c>
      <c r="AE111" s="82" t="e">
        <f>IF(W111&lt;=6.5,VLOOKUP(W111,頭囲データ!$C$10:$E$85,2,TRUE),NA())</f>
        <v>#N/A</v>
      </c>
      <c r="AF111" s="82" t="e">
        <f>IF(W111&lt;=6.5,VLOOKUP(W111,頭囲データ!$C$10:$E$85,3,TRUE),NA())</f>
        <v>#N/A</v>
      </c>
      <c r="AG111" s="89" t="str">
        <f>入力!F111&amp;"y"&amp;入力!G111&amp;"m"</f>
        <v>ym</v>
      </c>
      <c r="AH111" s="89" t="e">
        <f>IF(AND(入力!W111&gt;=1,入力!W111&lt;6,入力!B111&gt;=70,入力!B111&lt;=120),入力!B111,NA())</f>
        <v>#N/A</v>
      </c>
      <c r="AI111" s="89" t="e">
        <f>IF(AND(入力!W111&gt;=1,入力!W111&lt;6,入力!B111&gt;=70,入力!B111&lt;=120),入力!X111,NA())</f>
        <v>#N/A</v>
      </c>
      <c r="AJ111" s="89" t="e">
        <f>IF(AND(入力!W111&gt;=6,入力!B111&gt;=100,入力!B111&lt;=184),入力!B111,NA())</f>
        <v>#N/A</v>
      </c>
      <c r="AK111" s="89" t="e">
        <f>IF(AND(入力!W111&gt;=6,入力!B111&gt;=100,入力!B111&lt;=184),入力!X111,NA())</f>
        <v>#N/A</v>
      </c>
      <c r="AL111" s="82" t="e">
        <f t="shared" si="98"/>
        <v>#N/A</v>
      </c>
      <c r="AM111" s="82"/>
      <c r="AN111" s="80" t="e">
        <f t="shared" si="99"/>
        <v>#N/A</v>
      </c>
      <c r="AO111" s="80" t="e">
        <f t="shared" si="100"/>
        <v>#N/A</v>
      </c>
      <c r="AP111" s="81" t="e">
        <f t="shared" si="101"/>
        <v>#N/A</v>
      </c>
      <c r="AQ111" s="81" t="e">
        <f t="shared" si="102"/>
        <v>#VALUE!</v>
      </c>
      <c r="AR111" s="81" t="e">
        <f t="shared" si="103"/>
        <v>#N/A</v>
      </c>
      <c r="AS111" s="81" t="e">
        <f t="shared" si="104"/>
        <v>#N/A</v>
      </c>
      <c r="AT111" s="81" t="e">
        <f t="shared" si="105"/>
        <v>#N/A</v>
      </c>
      <c r="AU111" s="81" t="e">
        <f t="shared" si="106"/>
        <v>#N/A</v>
      </c>
      <c r="AV111" s="81" t="e">
        <f t="shared" si="107"/>
        <v>#N/A</v>
      </c>
      <c r="AW111" s="81" t="e">
        <f t="shared" si="108"/>
        <v>#N/A</v>
      </c>
      <c r="AX111" s="81" t="e">
        <f t="shared" si="109"/>
        <v>#N/A</v>
      </c>
      <c r="AY111" s="81" t="e">
        <f>VLOOKUP($W111,頭囲データ!$R$10:$W$11,3,TRUE)*$W111^3+VLOOKUP($W111,頭囲データ!$R$10:$W$11,4,TRUE)*$W111^2+VLOOKUP($W111,頭囲データ!$R$10:$W$11,5,TRUE)*$W111+VLOOKUP($W111,頭囲データ!$R$10:$W$11,6,TRUE)</f>
        <v>#N/A</v>
      </c>
      <c r="AZ111" s="81" t="e">
        <f>VLOOKUP($W111,頭囲データ!$R$12:$W$16,3,TRUE)*$W111^3+VLOOKUP($W111,頭囲データ!$R$12:$W$16,4,TRUE)*$W111^2+VLOOKUP($W111,頭囲データ!$R$12:$W$16,5,TRUE)*$W111+VLOOKUP($W111,頭囲データ!$R$12:$W$16,6,TRUE)</f>
        <v>#N/A</v>
      </c>
      <c r="BA111" s="81" t="e">
        <f>VLOOKUP($W111,頭囲データ!$R$17:$W$18,3,TRUE)*$W111^3+VLOOKUP($W111,頭囲データ!$R$17:$W$18,4,TRUE)*$W111^2+VLOOKUP($W111,頭囲データ!$R$17:$W$18,5,TRUE)*$W111+VLOOKUP($W111,頭囲データ!$R$17:$W$18,6,TRUE)</f>
        <v>#N/A</v>
      </c>
      <c r="BB111" s="81" t="e">
        <f t="shared" si="110"/>
        <v>#N/A</v>
      </c>
      <c r="BC111" s="81" t="e">
        <f>VLOOKUP($W111,胸囲データ!$R$10:$W$11,3,TRUE)*$W111^3+VLOOKUP($W111,胸囲データ!$R$10:$W$11,4,TRUE)*$W111^2+VLOOKUP($W111,胸囲データ!$R$10:$W$11,5,TRUE)*$W111+VLOOKUP($W111,胸囲データ!$R$10:$W$11,6,TRUE)</f>
        <v>#N/A</v>
      </c>
      <c r="BD111" s="81" t="e">
        <f>VLOOKUP($W111,胸囲データ!$R$12:$W$16,3,TRUE)*$W111^3+VLOOKUP($W111,胸囲データ!$R$12:$W$16,4,TRUE)*$W111^2+VLOOKUP($W111,胸囲データ!$R$12:$W$16,5,TRUE)*$W111+VLOOKUP($W111,胸囲データ!$R$12:$W$16,6,TRUE)</f>
        <v>#N/A</v>
      </c>
      <c r="BE111" s="81" t="e">
        <f>VLOOKUP($W111,胸囲データ!$R$17:$W$18,3,TRUE)*$W111^3+VLOOKUP($W111,胸囲データ!$R$17:$W$18,4,TRUE)*$W111^2+VLOOKUP($W111,胸囲データ!$R$17:$W$18,5,TRUE)*$W111+VLOOKUP($W111,胸囲データ!$R$17:$W$18,6,TRUE)</f>
        <v>#N/A</v>
      </c>
    </row>
    <row r="112" spans="1:57" x14ac:dyDescent="0.15">
      <c r="A112" s="35"/>
      <c r="B112" s="36"/>
      <c r="C112" s="36"/>
      <c r="D112" s="49"/>
      <c r="E112" s="76"/>
      <c r="F112" s="51" t="str">
        <f t="shared" si="86"/>
        <v/>
      </c>
      <c r="G112" s="37" t="str">
        <f t="shared" si="82"/>
        <v/>
      </c>
      <c r="H112" s="38" t="str">
        <f>IF(ISERROR(W112),"",VLOOKUP(W112,成長曲線_データ!$D$4:$AC$214,3,TRUE))</f>
        <v/>
      </c>
      <c r="I112" s="39" t="str">
        <f t="shared" si="88"/>
        <v/>
      </c>
      <c r="J112" s="39" t="str">
        <f t="shared" si="89"/>
        <v/>
      </c>
      <c r="K112" s="39" t="str">
        <f t="shared" si="90"/>
        <v/>
      </c>
      <c r="L112" s="39" t="str">
        <f t="shared" si="87"/>
        <v/>
      </c>
      <c r="M112" s="39" t="str">
        <f t="shared" si="83"/>
        <v/>
      </c>
      <c r="N112" s="39" t="str">
        <f t="shared" si="84"/>
        <v/>
      </c>
      <c r="O112" s="40" t="str">
        <f t="shared" si="91"/>
        <v/>
      </c>
      <c r="P112" s="40" t="str">
        <f t="shared" si="92"/>
        <v/>
      </c>
      <c r="Q112" s="39" t="str">
        <f t="shared" si="63"/>
        <v/>
      </c>
      <c r="R112" s="39" t="str">
        <f t="shared" si="93"/>
        <v/>
      </c>
      <c r="S112" s="39" t="str">
        <f t="shared" si="85"/>
        <v/>
      </c>
      <c r="T112" s="41" t="str">
        <f t="shared" si="94"/>
        <v/>
      </c>
      <c r="V112" s="90"/>
      <c r="W112" s="79" t="e">
        <f t="shared" si="95"/>
        <v>#N/A</v>
      </c>
      <c r="X112" s="79" t="e">
        <f t="shared" si="96"/>
        <v>#N/A</v>
      </c>
      <c r="Y112" s="80" t="e">
        <f>IF(W112="","",VLOOKUP(W112,成長曲線_データ!$D$4:$AC$214,4,TRUE))</f>
        <v>#N/A</v>
      </c>
      <c r="Z112" s="80" t="e">
        <f>IF(W112="","",VLOOKUP(W112,成長曲線_データ!$D$4:$AC$214,12,TRUE))</f>
        <v>#N/A</v>
      </c>
      <c r="AA112" s="81" t="e">
        <f>IF(W112="","",VLOOKUP(W112,成長曲線_データ!$D$4:$AC$214,13,TRUE))</f>
        <v>#N/A</v>
      </c>
      <c r="AB112" s="94" t="e">
        <f t="shared" si="97"/>
        <v>#N/A</v>
      </c>
      <c r="AC112" s="82" t="e">
        <f>IF(W112&lt;0.5,NA(),VLOOKUP((W112+1/8),成長曲線_データ!$V$4:$AA$73,2,TRUE))</f>
        <v>#N/A</v>
      </c>
      <c r="AD112" s="82" t="e">
        <f>IF(W112&lt;1,NA(),VLOOKUP(W112,成長曲線_データ!$V$4:$AA$73,3,TRUE))</f>
        <v>#N/A</v>
      </c>
      <c r="AE112" s="82" t="e">
        <f>IF(W112&lt;=6.5,VLOOKUP(W112,頭囲データ!$C$10:$E$85,2,TRUE),NA())</f>
        <v>#N/A</v>
      </c>
      <c r="AF112" s="82" t="e">
        <f>IF(W112&lt;=6.5,VLOOKUP(W112,頭囲データ!$C$10:$E$85,3,TRUE),NA())</f>
        <v>#N/A</v>
      </c>
      <c r="AG112" s="89" t="str">
        <f>入力!F112&amp;"y"&amp;入力!G112&amp;"m"</f>
        <v>ym</v>
      </c>
      <c r="AH112" s="89" t="e">
        <f>IF(AND(入力!W112&gt;=1,入力!W112&lt;6,入力!B112&gt;=70,入力!B112&lt;=120),入力!B112,NA())</f>
        <v>#N/A</v>
      </c>
      <c r="AI112" s="89" t="e">
        <f>IF(AND(入力!W112&gt;=1,入力!W112&lt;6,入力!B112&gt;=70,入力!B112&lt;=120),入力!X112,NA())</f>
        <v>#N/A</v>
      </c>
      <c r="AJ112" s="89" t="e">
        <f>IF(AND(入力!W112&gt;=6,入力!B112&gt;=100,入力!B112&lt;=184),入力!B112,NA())</f>
        <v>#N/A</v>
      </c>
      <c r="AK112" s="89" t="e">
        <f>IF(AND(入力!W112&gt;=6,入力!B112&gt;=100,入力!B112&lt;=184),入力!X112,NA())</f>
        <v>#N/A</v>
      </c>
      <c r="AL112" s="82" t="e">
        <f t="shared" si="98"/>
        <v>#N/A</v>
      </c>
      <c r="AM112" s="82"/>
      <c r="AN112" s="80" t="e">
        <f t="shared" si="99"/>
        <v>#N/A</v>
      </c>
      <c r="AO112" s="80" t="e">
        <f t="shared" si="100"/>
        <v>#N/A</v>
      </c>
      <c r="AP112" s="81" t="e">
        <f t="shared" si="101"/>
        <v>#N/A</v>
      </c>
      <c r="AQ112" s="81" t="e">
        <f t="shared" si="102"/>
        <v>#VALUE!</v>
      </c>
      <c r="AR112" s="81" t="e">
        <f t="shared" si="103"/>
        <v>#N/A</v>
      </c>
      <c r="AS112" s="81" t="e">
        <f t="shared" si="104"/>
        <v>#N/A</v>
      </c>
      <c r="AT112" s="81" t="e">
        <f t="shared" si="105"/>
        <v>#N/A</v>
      </c>
      <c r="AU112" s="81" t="e">
        <f t="shared" si="106"/>
        <v>#N/A</v>
      </c>
      <c r="AV112" s="81" t="e">
        <f t="shared" si="107"/>
        <v>#N/A</v>
      </c>
      <c r="AW112" s="81" t="e">
        <f t="shared" si="108"/>
        <v>#N/A</v>
      </c>
      <c r="AX112" s="81" t="e">
        <f t="shared" si="109"/>
        <v>#N/A</v>
      </c>
      <c r="AY112" s="81" t="e">
        <f>VLOOKUP($W112,頭囲データ!$R$10:$W$11,3,TRUE)*$W112^3+VLOOKUP($W112,頭囲データ!$R$10:$W$11,4,TRUE)*$W112^2+VLOOKUP($W112,頭囲データ!$R$10:$W$11,5,TRUE)*$W112+VLOOKUP($W112,頭囲データ!$R$10:$W$11,6,TRUE)</f>
        <v>#N/A</v>
      </c>
      <c r="AZ112" s="81" t="e">
        <f>VLOOKUP($W112,頭囲データ!$R$12:$W$16,3,TRUE)*$W112^3+VLOOKUP($W112,頭囲データ!$R$12:$W$16,4,TRUE)*$W112^2+VLOOKUP($W112,頭囲データ!$R$12:$W$16,5,TRUE)*$W112+VLOOKUP($W112,頭囲データ!$R$12:$W$16,6,TRUE)</f>
        <v>#N/A</v>
      </c>
      <c r="BA112" s="81" t="e">
        <f>VLOOKUP($W112,頭囲データ!$R$17:$W$18,3,TRUE)*$W112^3+VLOOKUP($W112,頭囲データ!$R$17:$W$18,4,TRUE)*$W112^2+VLOOKUP($W112,頭囲データ!$R$17:$W$18,5,TRUE)*$W112+VLOOKUP($W112,頭囲データ!$R$17:$W$18,6,TRUE)</f>
        <v>#N/A</v>
      </c>
      <c r="BB112" s="81" t="e">
        <f t="shared" si="110"/>
        <v>#N/A</v>
      </c>
      <c r="BC112" s="81" t="e">
        <f>VLOOKUP($W112,胸囲データ!$R$10:$W$11,3,TRUE)*$W112^3+VLOOKUP($W112,胸囲データ!$R$10:$W$11,4,TRUE)*$W112^2+VLOOKUP($W112,胸囲データ!$R$10:$W$11,5,TRUE)*$W112+VLOOKUP($W112,胸囲データ!$R$10:$W$11,6,TRUE)</f>
        <v>#N/A</v>
      </c>
      <c r="BD112" s="81" t="e">
        <f>VLOOKUP($W112,胸囲データ!$R$12:$W$16,3,TRUE)*$W112^3+VLOOKUP($W112,胸囲データ!$R$12:$W$16,4,TRUE)*$W112^2+VLOOKUP($W112,胸囲データ!$R$12:$W$16,5,TRUE)*$W112+VLOOKUP($W112,胸囲データ!$R$12:$W$16,6,TRUE)</f>
        <v>#N/A</v>
      </c>
      <c r="BE112" s="81" t="e">
        <f>VLOOKUP($W112,胸囲データ!$R$17:$W$18,3,TRUE)*$W112^3+VLOOKUP($W112,胸囲データ!$R$17:$W$18,4,TRUE)*$W112^2+VLOOKUP($W112,胸囲データ!$R$17:$W$18,5,TRUE)*$W112+VLOOKUP($W112,胸囲データ!$R$17:$W$18,6,TRUE)</f>
        <v>#N/A</v>
      </c>
    </row>
    <row r="113" spans="1:57" x14ac:dyDescent="0.15">
      <c r="A113" s="35"/>
      <c r="B113" s="36"/>
      <c r="C113" s="36"/>
      <c r="D113" s="49"/>
      <c r="E113" s="76"/>
      <c r="F113" s="51" t="str">
        <f t="shared" si="86"/>
        <v/>
      </c>
      <c r="G113" s="37" t="str">
        <f t="shared" si="82"/>
        <v/>
      </c>
      <c r="H113" s="38" t="str">
        <f>IF(ISERROR(W113),"",VLOOKUP(W113,成長曲線_データ!$D$4:$AC$214,3,TRUE))</f>
        <v/>
      </c>
      <c r="I113" s="39" t="str">
        <f t="shared" si="88"/>
        <v/>
      </c>
      <c r="J113" s="39" t="str">
        <f t="shared" si="89"/>
        <v/>
      </c>
      <c r="K113" s="39" t="str">
        <f t="shared" si="90"/>
        <v/>
      </c>
      <c r="L113" s="39" t="str">
        <f t="shared" si="87"/>
        <v/>
      </c>
      <c r="M113" s="39" t="str">
        <f t="shared" si="83"/>
        <v/>
      </c>
      <c r="N113" s="39" t="str">
        <f t="shared" si="84"/>
        <v/>
      </c>
      <c r="O113" s="40" t="str">
        <f t="shared" si="91"/>
        <v/>
      </c>
      <c r="P113" s="40" t="str">
        <f t="shared" si="92"/>
        <v/>
      </c>
      <c r="Q113" s="39" t="str">
        <f t="shared" si="63"/>
        <v/>
      </c>
      <c r="R113" s="39" t="str">
        <f t="shared" si="93"/>
        <v/>
      </c>
      <c r="S113" s="39" t="str">
        <f t="shared" si="85"/>
        <v/>
      </c>
      <c r="T113" s="41" t="str">
        <f t="shared" si="94"/>
        <v/>
      </c>
      <c r="V113" s="90"/>
      <c r="W113" s="79" t="e">
        <f t="shared" si="95"/>
        <v>#N/A</v>
      </c>
      <c r="X113" s="79" t="e">
        <f t="shared" si="96"/>
        <v>#N/A</v>
      </c>
      <c r="Y113" s="80" t="e">
        <f>IF(W113="","",VLOOKUP(W113,成長曲線_データ!$D$4:$AC$214,4,TRUE))</f>
        <v>#N/A</v>
      </c>
      <c r="Z113" s="80" t="e">
        <f>IF(W113="","",VLOOKUP(W113,成長曲線_データ!$D$4:$AC$214,12,TRUE))</f>
        <v>#N/A</v>
      </c>
      <c r="AA113" s="81" t="e">
        <f>IF(W113="","",VLOOKUP(W113,成長曲線_データ!$D$4:$AC$214,13,TRUE))</f>
        <v>#N/A</v>
      </c>
      <c r="AB113" s="94" t="e">
        <f t="shared" si="97"/>
        <v>#N/A</v>
      </c>
      <c r="AC113" s="82" t="e">
        <f>IF(W113&lt;0.5,NA(),VLOOKUP((W113+1/8),成長曲線_データ!$V$4:$AA$73,2,TRUE))</f>
        <v>#N/A</v>
      </c>
      <c r="AD113" s="82" t="e">
        <f>IF(W113&lt;1,NA(),VLOOKUP(W113,成長曲線_データ!$V$4:$AA$73,3,TRUE))</f>
        <v>#N/A</v>
      </c>
      <c r="AE113" s="82" t="e">
        <f>IF(W113&lt;=6.5,VLOOKUP(W113,頭囲データ!$C$10:$E$85,2,TRUE),NA())</f>
        <v>#N/A</v>
      </c>
      <c r="AF113" s="82" t="e">
        <f>IF(W113&lt;=6.5,VLOOKUP(W113,頭囲データ!$C$10:$E$85,3,TRUE),NA())</f>
        <v>#N/A</v>
      </c>
      <c r="AG113" s="89" t="str">
        <f>入力!F113&amp;"y"&amp;入力!G113&amp;"m"</f>
        <v>ym</v>
      </c>
      <c r="AH113" s="89" t="e">
        <f>IF(AND(入力!W113&gt;=1,入力!W113&lt;6,入力!B113&gt;=70,入力!B113&lt;=120),入力!B113,NA())</f>
        <v>#N/A</v>
      </c>
      <c r="AI113" s="89" t="e">
        <f>IF(AND(入力!W113&gt;=1,入力!W113&lt;6,入力!B113&gt;=70,入力!B113&lt;=120),入力!X113,NA())</f>
        <v>#N/A</v>
      </c>
      <c r="AJ113" s="89" t="e">
        <f>IF(AND(入力!W113&gt;=6,入力!B113&gt;=100,入力!B113&lt;=184),入力!B113,NA())</f>
        <v>#N/A</v>
      </c>
      <c r="AK113" s="89" t="e">
        <f>IF(AND(入力!W113&gt;=6,入力!B113&gt;=100,入力!B113&lt;=184),入力!X113,NA())</f>
        <v>#N/A</v>
      </c>
      <c r="AL113" s="82" t="e">
        <f t="shared" si="98"/>
        <v>#N/A</v>
      </c>
      <c r="AM113" s="82"/>
      <c r="AN113" s="80" t="e">
        <f t="shared" si="99"/>
        <v>#N/A</v>
      </c>
      <c r="AO113" s="80" t="e">
        <f t="shared" si="100"/>
        <v>#N/A</v>
      </c>
      <c r="AP113" s="81" t="e">
        <f t="shared" si="101"/>
        <v>#N/A</v>
      </c>
      <c r="AQ113" s="81" t="e">
        <f t="shared" si="102"/>
        <v>#VALUE!</v>
      </c>
      <c r="AR113" s="81" t="e">
        <f t="shared" si="103"/>
        <v>#N/A</v>
      </c>
      <c r="AS113" s="81" t="e">
        <f t="shared" si="104"/>
        <v>#N/A</v>
      </c>
      <c r="AT113" s="81" t="e">
        <f t="shared" si="105"/>
        <v>#N/A</v>
      </c>
      <c r="AU113" s="81" t="e">
        <f t="shared" si="106"/>
        <v>#N/A</v>
      </c>
      <c r="AV113" s="81" t="e">
        <f t="shared" si="107"/>
        <v>#N/A</v>
      </c>
      <c r="AW113" s="81" t="e">
        <f t="shared" si="108"/>
        <v>#N/A</v>
      </c>
      <c r="AX113" s="81" t="e">
        <f t="shared" si="109"/>
        <v>#N/A</v>
      </c>
      <c r="AY113" s="81" t="e">
        <f>VLOOKUP($W113,頭囲データ!$R$10:$W$11,3,TRUE)*$W113^3+VLOOKUP($W113,頭囲データ!$R$10:$W$11,4,TRUE)*$W113^2+VLOOKUP($W113,頭囲データ!$R$10:$W$11,5,TRUE)*$W113+VLOOKUP($W113,頭囲データ!$R$10:$W$11,6,TRUE)</f>
        <v>#N/A</v>
      </c>
      <c r="AZ113" s="81" t="e">
        <f>VLOOKUP($W113,頭囲データ!$R$12:$W$16,3,TRUE)*$W113^3+VLOOKUP($W113,頭囲データ!$R$12:$W$16,4,TRUE)*$W113^2+VLOOKUP($W113,頭囲データ!$R$12:$W$16,5,TRUE)*$W113+VLOOKUP($W113,頭囲データ!$R$12:$W$16,6,TRUE)</f>
        <v>#N/A</v>
      </c>
      <c r="BA113" s="81" t="e">
        <f>VLOOKUP($W113,頭囲データ!$R$17:$W$18,3,TRUE)*$W113^3+VLOOKUP($W113,頭囲データ!$R$17:$W$18,4,TRUE)*$W113^2+VLOOKUP($W113,頭囲データ!$R$17:$W$18,5,TRUE)*$W113+VLOOKUP($W113,頭囲データ!$R$17:$W$18,6,TRUE)</f>
        <v>#N/A</v>
      </c>
      <c r="BB113" s="81" t="e">
        <f t="shared" si="110"/>
        <v>#N/A</v>
      </c>
      <c r="BC113" s="81" t="e">
        <f>VLOOKUP($W113,胸囲データ!$R$10:$W$11,3,TRUE)*$W113^3+VLOOKUP($W113,胸囲データ!$R$10:$W$11,4,TRUE)*$W113^2+VLOOKUP($W113,胸囲データ!$R$10:$W$11,5,TRUE)*$W113+VLOOKUP($W113,胸囲データ!$R$10:$W$11,6,TRUE)</f>
        <v>#N/A</v>
      </c>
      <c r="BD113" s="81" t="e">
        <f>VLOOKUP($W113,胸囲データ!$R$12:$W$16,3,TRUE)*$W113^3+VLOOKUP($W113,胸囲データ!$R$12:$W$16,4,TRUE)*$W113^2+VLOOKUP($W113,胸囲データ!$R$12:$W$16,5,TRUE)*$W113+VLOOKUP($W113,胸囲データ!$R$12:$W$16,6,TRUE)</f>
        <v>#N/A</v>
      </c>
      <c r="BE113" s="81" t="e">
        <f>VLOOKUP($W113,胸囲データ!$R$17:$W$18,3,TRUE)*$W113^3+VLOOKUP($W113,胸囲データ!$R$17:$W$18,4,TRUE)*$W113^2+VLOOKUP($W113,胸囲データ!$R$17:$W$18,5,TRUE)*$W113+VLOOKUP($W113,胸囲データ!$R$17:$W$18,6,TRUE)</f>
        <v>#N/A</v>
      </c>
    </row>
    <row r="114" spans="1:57" x14ac:dyDescent="0.15">
      <c r="A114" s="35"/>
      <c r="B114" s="36"/>
      <c r="C114" s="36"/>
      <c r="D114" s="49"/>
      <c r="E114" s="76"/>
      <c r="F114" s="51" t="str">
        <f t="shared" si="86"/>
        <v/>
      </c>
      <c r="G114" s="37" t="str">
        <f t="shared" si="82"/>
        <v/>
      </c>
      <c r="H114" s="38" t="str">
        <f>IF(ISERROR(W114),"",VLOOKUP(W114,成長曲線_データ!$D$4:$AC$214,3,TRUE))</f>
        <v/>
      </c>
      <c r="I114" s="39" t="str">
        <f t="shared" si="88"/>
        <v/>
      </c>
      <c r="J114" s="39" t="str">
        <f t="shared" si="89"/>
        <v/>
      </c>
      <c r="K114" s="39" t="str">
        <f t="shared" si="90"/>
        <v/>
      </c>
      <c r="L114" s="39" t="str">
        <f t="shared" si="87"/>
        <v/>
      </c>
      <c r="M114" s="39" t="str">
        <f t="shared" si="83"/>
        <v/>
      </c>
      <c r="N114" s="39" t="str">
        <f t="shared" si="84"/>
        <v/>
      </c>
      <c r="O114" s="40" t="str">
        <f t="shared" si="91"/>
        <v/>
      </c>
      <c r="P114" s="40" t="str">
        <f t="shared" si="92"/>
        <v/>
      </c>
      <c r="Q114" s="39" t="str">
        <f t="shared" si="63"/>
        <v/>
      </c>
      <c r="R114" s="39" t="str">
        <f t="shared" si="93"/>
        <v/>
      </c>
      <c r="S114" s="39" t="str">
        <f t="shared" si="85"/>
        <v/>
      </c>
      <c r="T114" s="41" t="str">
        <f t="shared" si="94"/>
        <v/>
      </c>
      <c r="V114" s="90"/>
      <c r="W114" s="79" t="e">
        <f t="shared" si="95"/>
        <v>#N/A</v>
      </c>
      <c r="X114" s="79" t="e">
        <f t="shared" si="96"/>
        <v>#N/A</v>
      </c>
      <c r="Y114" s="80" t="e">
        <f>IF(W114="","",VLOOKUP(W114,成長曲線_データ!$D$4:$AC$214,4,TRUE))</f>
        <v>#N/A</v>
      </c>
      <c r="Z114" s="80" t="e">
        <f>IF(W114="","",VLOOKUP(W114,成長曲線_データ!$D$4:$AC$214,12,TRUE))</f>
        <v>#N/A</v>
      </c>
      <c r="AA114" s="81" t="e">
        <f>IF(W114="","",VLOOKUP(W114,成長曲線_データ!$D$4:$AC$214,13,TRUE))</f>
        <v>#N/A</v>
      </c>
      <c r="AB114" s="94" t="e">
        <f t="shared" si="97"/>
        <v>#N/A</v>
      </c>
      <c r="AC114" s="82" t="e">
        <f>IF(W114&lt;0.5,NA(),VLOOKUP((W114+1/8),成長曲線_データ!$V$4:$AA$73,2,TRUE))</f>
        <v>#N/A</v>
      </c>
      <c r="AD114" s="82" t="e">
        <f>IF(W114&lt;1,NA(),VLOOKUP(W114,成長曲線_データ!$V$4:$AA$73,3,TRUE))</f>
        <v>#N/A</v>
      </c>
      <c r="AE114" s="82" t="e">
        <f>IF(W114&lt;=6.5,VLOOKUP(W114,頭囲データ!$C$10:$E$85,2,TRUE),NA())</f>
        <v>#N/A</v>
      </c>
      <c r="AF114" s="82" t="e">
        <f>IF(W114&lt;=6.5,VLOOKUP(W114,頭囲データ!$C$10:$E$85,3,TRUE),NA())</f>
        <v>#N/A</v>
      </c>
      <c r="AG114" s="89" t="str">
        <f>入力!F114&amp;"y"&amp;入力!G114&amp;"m"</f>
        <v>ym</v>
      </c>
      <c r="AH114" s="89" t="e">
        <f>IF(AND(入力!W114&gt;=1,入力!W114&lt;6,入力!B114&gt;=70,入力!B114&lt;=120),入力!B114,NA())</f>
        <v>#N/A</v>
      </c>
      <c r="AI114" s="89" t="e">
        <f>IF(AND(入力!W114&gt;=1,入力!W114&lt;6,入力!B114&gt;=70,入力!B114&lt;=120),入力!X114,NA())</f>
        <v>#N/A</v>
      </c>
      <c r="AJ114" s="89" t="e">
        <f>IF(AND(入力!W114&gt;=6,入力!B114&gt;=100,入力!B114&lt;=184),入力!B114,NA())</f>
        <v>#N/A</v>
      </c>
      <c r="AK114" s="89" t="e">
        <f>IF(AND(入力!W114&gt;=6,入力!B114&gt;=100,入力!B114&lt;=184),入力!X114,NA())</f>
        <v>#N/A</v>
      </c>
      <c r="AL114" s="82" t="e">
        <f t="shared" si="98"/>
        <v>#N/A</v>
      </c>
      <c r="AM114" s="82"/>
      <c r="AN114" s="80" t="e">
        <f t="shared" si="99"/>
        <v>#N/A</v>
      </c>
      <c r="AO114" s="80" t="e">
        <f t="shared" si="100"/>
        <v>#N/A</v>
      </c>
      <c r="AP114" s="81" t="e">
        <f t="shared" si="101"/>
        <v>#N/A</v>
      </c>
      <c r="AQ114" s="81" t="e">
        <f t="shared" si="102"/>
        <v>#VALUE!</v>
      </c>
      <c r="AR114" s="81" t="e">
        <f t="shared" si="103"/>
        <v>#N/A</v>
      </c>
      <c r="AS114" s="81" t="e">
        <f t="shared" si="104"/>
        <v>#N/A</v>
      </c>
      <c r="AT114" s="81" t="e">
        <f t="shared" si="105"/>
        <v>#N/A</v>
      </c>
      <c r="AU114" s="81" t="e">
        <f t="shared" si="106"/>
        <v>#N/A</v>
      </c>
      <c r="AV114" s="81" t="e">
        <f t="shared" si="107"/>
        <v>#N/A</v>
      </c>
      <c r="AW114" s="81" t="e">
        <f t="shared" si="108"/>
        <v>#N/A</v>
      </c>
      <c r="AX114" s="81" t="e">
        <f t="shared" si="109"/>
        <v>#N/A</v>
      </c>
      <c r="AY114" s="81" t="e">
        <f>VLOOKUP($W114,頭囲データ!$R$10:$W$11,3,TRUE)*$W114^3+VLOOKUP($W114,頭囲データ!$R$10:$W$11,4,TRUE)*$W114^2+VLOOKUP($W114,頭囲データ!$R$10:$W$11,5,TRUE)*$W114+VLOOKUP($W114,頭囲データ!$R$10:$W$11,6,TRUE)</f>
        <v>#N/A</v>
      </c>
      <c r="AZ114" s="81" t="e">
        <f>VLOOKUP($W114,頭囲データ!$R$12:$W$16,3,TRUE)*$W114^3+VLOOKUP($W114,頭囲データ!$R$12:$W$16,4,TRUE)*$W114^2+VLOOKUP($W114,頭囲データ!$R$12:$W$16,5,TRUE)*$W114+VLOOKUP($W114,頭囲データ!$R$12:$W$16,6,TRUE)</f>
        <v>#N/A</v>
      </c>
      <c r="BA114" s="81" t="e">
        <f>VLOOKUP($W114,頭囲データ!$R$17:$W$18,3,TRUE)*$W114^3+VLOOKUP($W114,頭囲データ!$R$17:$W$18,4,TRUE)*$W114^2+VLOOKUP($W114,頭囲データ!$R$17:$W$18,5,TRUE)*$W114+VLOOKUP($W114,頭囲データ!$R$17:$W$18,6,TRUE)</f>
        <v>#N/A</v>
      </c>
      <c r="BB114" s="81" t="e">
        <f t="shared" si="110"/>
        <v>#N/A</v>
      </c>
      <c r="BC114" s="81" t="e">
        <f>VLOOKUP($W114,胸囲データ!$R$10:$W$11,3,TRUE)*$W114^3+VLOOKUP($W114,胸囲データ!$R$10:$W$11,4,TRUE)*$W114^2+VLOOKUP($W114,胸囲データ!$R$10:$W$11,5,TRUE)*$W114+VLOOKUP($W114,胸囲データ!$R$10:$W$11,6,TRUE)</f>
        <v>#N/A</v>
      </c>
      <c r="BD114" s="81" t="e">
        <f>VLOOKUP($W114,胸囲データ!$R$12:$W$16,3,TRUE)*$W114^3+VLOOKUP($W114,胸囲データ!$R$12:$W$16,4,TRUE)*$W114^2+VLOOKUP($W114,胸囲データ!$R$12:$W$16,5,TRUE)*$W114+VLOOKUP($W114,胸囲データ!$R$12:$W$16,6,TRUE)</f>
        <v>#N/A</v>
      </c>
      <c r="BE114" s="81" t="e">
        <f>VLOOKUP($W114,胸囲データ!$R$17:$W$18,3,TRUE)*$W114^3+VLOOKUP($W114,胸囲データ!$R$17:$W$18,4,TRUE)*$W114^2+VLOOKUP($W114,胸囲データ!$R$17:$W$18,5,TRUE)*$W114+VLOOKUP($W114,胸囲データ!$R$17:$W$18,6,TRUE)</f>
        <v>#N/A</v>
      </c>
    </row>
    <row r="115" spans="1:57" x14ac:dyDescent="0.15">
      <c r="A115" s="35"/>
      <c r="B115" s="36"/>
      <c r="C115" s="36"/>
      <c r="D115" s="49"/>
      <c r="E115" s="76"/>
      <c r="F115" s="51" t="str">
        <f t="shared" si="86"/>
        <v/>
      </c>
      <c r="G115" s="37" t="str">
        <f t="shared" si="82"/>
        <v/>
      </c>
      <c r="H115" s="38" t="str">
        <f>IF(ISERROR(W115),"",VLOOKUP(W115,成長曲線_データ!$D$4:$AC$214,3,TRUE))</f>
        <v/>
      </c>
      <c r="I115" s="39" t="str">
        <f t="shared" si="88"/>
        <v/>
      </c>
      <c r="J115" s="39" t="str">
        <f t="shared" si="89"/>
        <v/>
      </c>
      <c r="K115" s="39" t="str">
        <f t="shared" si="90"/>
        <v/>
      </c>
      <c r="L115" s="39" t="str">
        <f t="shared" si="87"/>
        <v/>
      </c>
      <c r="M115" s="39" t="str">
        <f t="shared" si="83"/>
        <v/>
      </c>
      <c r="N115" s="39" t="str">
        <f t="shared" si="84"/>
        <v/>
      </c>
      <c r="O115" s="40" t="str">
        <f t="shared" si="91"/>
        <v/>
      </c>
      <c r="P115" s="40" t="str">
        <f t="shared" si="92"/>
        <v/>
      </c>
      <c r="Q115" s="39" t="str">
        <f t="shared" si="63"/>
        <v/>
      </c>
      <c r="R115" s="39" t="str">
        <f t="shared" si="93"/>
        <v/>
      </c>
      <c r="S115" s="39" t="str">
        <f t="shared" si="85"/>
        <v/>
      </c>
      <c r="T115" s="41" t="str">
        <f t="shared" si="94"/>
        <v/>
      </c>
      <c r="V115" s="90"/>
      <c r="W115" s="79" t="e">
        <f t="shared" si="95"/>
        <v>#N/A</v>
      </c>
      <c r="X115" s="79" t="e">
        <f t="shared" si="96"/>
        <v>#N/A</v>
      </c>
      <c r="Y115" s="80" t="e">
        <f>IF(W115="","",VLOOKUP(W115,成長曲線_データ!$D$4:$AC$214,4,TRUE))</f>
        <v>#N/A</v>
      </c>
      <c r="Z115" s="80" t="e">
        <f>IF(W115="","",VLOOKUP(W115,成長曲線_データ!$D$4:$AC$214,12,TRUE))</f>
        <v>#N/A</v>
      </c>
      <c r="AA115" s="81" t="e">
        <f>IF(W115="","",VLOOKUP(W115,成長曲線_データ!$D$4:$AC$214,13,TRUE))</f>
        <v>#N/A</v>
      </c>
      <c r="AB115" s="94" t="e">
        <f t="shared" si="97"/>
        <v>#N/A</v>
      </c>
      <c r="AC115" s="82" t="e">
        <f>IF(W115&lt;0.5,NA(),VLOOKUP((W115+1/8),成長曲線_データ!$V$4:$AA$73,2,TRUE))</f>
        <v>#N/A</v>
      </c>
      <c r="AD115" s="82" t="e">
        <f>IF(W115&lt;1,NA(),VLOOKUP(W115,成長曲線_データ!$V$4:$AA$73,3,TRUE))</f>
        <v>#N/A</v>
      </c>
      <c r="AE115" s="82" t="e">
        <f>IF(W115&lt;=6.5,VLOOKUP(W115,頭囲データ!$C$10:$E$85,2,TRUE),NA())</f>
        <v>#N/A</v>
      </c>
      <c r="AF115" s="82" t="e">
        <f>IF(W115&lt;=6.5,VLOOKUP(W115,頭囲データ!$C$10:$E$85,3,TRUE),NA())</f>
        <v>#N/A</v>
      </c>
      <c r="AG115" s="89" t="str">
        <f>入力!F115&amp;"y"&amp;入力!G115&amp;"m"</f>
        <v>ym</v>
      </c>
      <c r="AH115" s="89" t="e">
        <f>IF(AND(入力!W115&gt;=1,入力!W115&lt;6,入力!B115&gt;=70,入力!B115&lt;=120),入力!B115,NA())</f>
        <v>#N/A</v>
      </c>
      <c r="AI115" s="89" t="e">
        <f>IF(AND(入力!W115&gt;=1,入力!W115&lt;6,入力!B115&gt;=70,入力!B115&lt;=120),入力!X115,NA())</f>
        <v>#N/A</v>
      </c>
      <c r="AJ115" s="89" t="e">
        <f>IF(AND(入力!W115&gt;=6,入力!B115&gt;=100,入力!B115&lt;=184),入力!B115,NA())</f>
        <v>#N/A</v>
      </c>
      <c r="AK115" s="89" t="e">
        <f>IF(AND(入力!W115&gt;=6,入力!B115&gt;=100,入力!B115&lt;=184),入力!X115,NA())</f>
        <v>#N/A</v>
      </c>
      <c r="AL115" s="82" t="e">
        <f t="shared" si="98"/>
        <v>#N/A</v>
      </c>
      <c r="AM115" s="82"/>
      <c r="AN115" s="80" t="e">
        <f t="shared" si="99"/>
        <v>#N/A</v>
      </c>
      <c r="AO115" s="80" t="e">
        <f t="shared" si="100"/>
        <v>#N/A</v>
      </c>
      <c r="AP115" s="81" t="e">
        <f t="shared" si="101"/>
        <v>#N/A</v>
      </c>
      <c r="AQ115" s="81" t="e">
        <f t="shared" si="102"/>
        <v>#VALUE!</v>
      </c>
      <c r="AR115" s="81" t="e">
        <f t="shared" si="103"/>
        <v>#N/A</v>
      </c>
      <c r="AS115" s="81" t="e">
        <f t="shared" si="104"/>
        <v>#N/A</v>
      </c>
      <c r="AT115" s="81" t="e">
        <f t="shared" si="105"/>
        <v>#N/A</v>
      </c>
      <c r="AU115" s="81" t="e">
        <f t="shared" si="106"/>
        <v>#N/A</v>
      </c>
      <c r="AV115" s="81" t="e">
        <f t="shared" si="107"/>
        <v>#N/A</v>
      </c>
      <c r="AW115" s="81" t="e">
        <f t="shared" si="108"/>
        <v>#N/A</v>
      </c>
      <c r="AX115" s="81" t="e">
        <f t="shared" si="109"/>
        <v>#N/A</v>
      </c>
      <c r="AY115" s="81" t="e">
        <f>VLOOKUP($W115,頭囲データ!$R$10:$W$11,3,TRUE)*$W115^3+VLOOKUP($W115,頭囲データ!$R$10:$W$11,4,TRUE)*$W115^2+VLOOKUP($W115,頭囲データ!$R$10:$W$11,5,TRUE)*$W115+VLOOKUP($W115,頭囲データ!$R$10:$W$11,6,TRUE)</f>
        <v>#N/A</v>
      </c>
      <c r="AZ115" s="81" t="e">
        <f>VLOOKUP($W115,頭囲データ!$R$12:$W$16,3,TRUE)*$W115^3+VLOOKUP($W115,頭囲データ!$R$12:$W$16,4,TRUE)*$W115^2+VLOOKUP($W115,頭囲データ!$R$12:$W$16,5,TRUE)*$W115+VLOOKUP($W115,頭囲データ!$R$12:$W$16,6,TRUE)</f>
        <v>#N/A</v>
      </c>
      <c r="BA115" s="81" t="e">
        <f>VLOOKUP($W115,頭囲データ!$R$17:$W$18,3,TRUE)*$W115^3+VLOOKUP($W115,頭囲データ!$R$17:$W$18,4,TRUE)*$W115^2+VLOOKUP($W115,頭囲データ!$R$17:$W$18,5,TRUE)*$W115+VLOOKUP($W115,頭囲データ!$R$17:$W$18,6,TRUE)</f>
        <v>#N/A</v>
      </c>
      <c r="BB115" s="81" t="e">
        <f t="shared" si="110"/>
        <v>#N/A</v>
      </c>
      <c r="BC115" s="81" t="e">
        <f>VLOOKUP($W115,胸囲データ!$R$10:$W$11,3,TRUE)*$W115^3+VLOOKUP($W115,胸囲データ!$R$10:$W$11,4,TRUE)*$W115^2+VLOOKUP($W115,胸囲データ!$R$10:$W$11,5,TRUE)*$W115+VLOOKUP($W115,胸囲データ!$R$10:$W$11,6,TRUE)</f>
        <v>#N/A</v>
      </c>
      <c r="BD115" s="81" t="e">
        <f>VLOOKUP($W115,胸囲データ!$R$12:$W$16,3,TRUE)*$W115^3+VLOOKUP($W115,胸囲データ!$R$12:$W$16,4,TRUE)*$W115^2+VLOOKUP($W115,胸囲データ!$R$12:$W$16,5,TRUE)*$W115+VLOOKUP($W115,胸囲データ!$R$12:$W$16,6,TRUE)</f>
        <v>#N/A</v>
      </c>
      <c r="BE115" s="81" t="e">
        <f>VLOOKUP($W115,胸囲データ!$R$17:$W$18,3,TRUE)*$W115^3+VLOOKUP($W115,胸囲データ!$R$17:$W$18,4,TRUE)*$W115^2+VLOOKUP($W115,胸囲データ!$R$17:$W$18,5,TRUE)*$W115+VLOOKUP($W115,胸囲データ!$R$17:$W$18,6,TRUE)</f>
        <v>#N/A</v>
      </c>
    </row>
    <row r="116" spans="1:57" x14ac:dyDescent="0.15">
      <c r="A116" s="35"/>
      <c r="B116" s="36"/>
      <c r="C116" s="36"/>
      <c r="D116" s="49"/>
      <c r="E116" s="76"/>
      <c r="F116" s="51" t="str">
        <f t="shared" si="86"/>
        <v/>
      </c>
      <c r="G116" s="37" t="str">
        <f t="shared" si="82"/>
        <v/>
      </c>
      <c r="H116" s="38" t="str">
        <f>IF(ISERROR(W116),"",VLOOKUP(W116,成長曲線_データ!$D$4:$AC$214,3,TRUE))</f>
        <v/>
      </c>
      <c r="I116" s="39" t="str">
        <f t="shared" si="88"/>
        <v/>
      </c>
      <c r="J116" s="39" t="str">
        <f t="shared" si="89"/>
        <v/>
      </c>
      <c r="K116" s="39" t="str">
        <f t="shared" si="90"/>
        <v/>
      </c>
      <c r="L116" s="39" t="str">
        <f t="shared" si="87"/>
        <v/>
      </c>
      <c r="M116" s="39" t="str">
        <f t="shared" si="83"/>
        <v/>
      </c>
      <c r="N116" s="39" t="str">
        <f t="shared" si="84"/>
        <v/>
      </c>
      <c r="O116" s="40" t="str">
        <f t="shared" si="91"/>
        <v/>
      </c>
      <c r="P116" s="40" t="str">
        <f t="shared" si="92"/>
        <v/>
      </c>
      <c r="Q116" s="39" t="str">
        <f t="shared" si="63"/>
        <v/>
      </c>
      <c r="R116" s="39" t="str">
        <f t="shared" si="93"/>
        <v/>
      </c>
      <c r="S116" s="39" t="str">
        <f t="shared" si="85"/>
        <v/>
      </c>
      <c r="T116" s="41" t="str">
        <f t="shared" si="94"/>
        <v/>
      </c>
      <c r="V116" s="90"/>
      <c r="W116" s="79" t="e">
        <f t="shared" si="95"/>
        <v>#N/A</v>
      </c>
      <c r="X116" s="79" t="e">
        <f t="shared" si="96"/>
        <v>#N/A</v>
      </c>
      <c r="Y116" s="80" t="e">
        <f>IF(W116="","",VLOOKUP(W116,成長曲線_データ!$D$4:$AC$214,4,TRUE))</f>
        <v>#N/A</v>
      </c>
      <c r="Z116" s="80" t="e">
        <f>IF(W116="","",VLOOKUP(W116,成長曲線_データ!$D$4:$AC$214,12,TRUE))</f>
        <v>#N/A</v>
      </c>
      <c r="AA116" s="81" t="e">
        <f>IF(W116="","",VLOOKUP(W116,成長曲線_データ!$D$4:$AC$214,13,TRUE))</f>
        <v>#N/A</v>
      </c>
      <c r="AB116" s="94" t="e">
        <f t="shared" si="97"/>
        <v>#N/A</v>
      </c>
      <c r="AC116" s="82" t="e">
        <f>IF(W116&lt;0.5,NA(),VLOOKUP((W116+1/8),成長曲線_データ!$V$4:$AA$73,2,TRUE))</f>
        <v>#N/A</v>
      </c>
      <c r="AD116" s="82" t="e">
        <f>IF(W116&lt;1,NA(),VLOOKUP(W116,成長曲線_データ!$V$4:$AA$73,3,TRUE))</f>
        <v>#N/A</v>
      </c>
      <c r="AE116" s="82" t="e">
        <f>IF(W116&lt;=6.5,VLOOKUP(W116,頭囲データ!$C$10:$E$85,2,TRUE),NA())</f>
        <v>#N/A</v>
      </c>
      <c r="AF116" s="82" t="e">
        <f>IF(W116&lt;=6.5,VLOOKUP(W116,頭囲データ!$C$10:$E$85,3,TRUE),NA())</f>
        <v>#N/A</v>
      </c>
      <c r="AG116" s="89" t="str">
        <f>入力!F116&amp;"y"&amp;入力!G116&amp;"m"</f>
        <v>ym</v>
      </c>
      <c r="AH116" s="89" t="e">
        <f>IF(AND(入力!W116&gt;=1,入力!W116&lt;6,入力!B116&gt;=70,入力!B116&lt;=120),入力!B116,NA())</f>
        <v>#N/A</v>
      </c>
      <c r="AI116" s="89" t="e">
        <f>IF(AND(入力!W116&gt;=1,入力!W116&lt;6,入力!B116&gt;=70,入力!B116&lt;=120),入力!X116,NA())</f>
        <v>#N/A</v>
      </c>
      <c r="AJ116" s="89" t="e">
        <f>IF(AND(入力!W116&gt;=6,入力!B116&gt;=100,入力!B116&lt;=184),入力!B116,NA())</f>
        <v>#N/A</v>
      </c>
      <c r="AK116" s="89" t="e">
        <f>IF(AND(入力!W116&gt;=6,入力!B116&gt;=100,入力!B116&lt;=184),入力!X116,NA())</f>
        <v>#N/A</v>
      </c>
      <c r="AL116" s="82" t="e">
        <f t="shared" si="98"/>
        <v>#N/A</v>
      </c>
      <c r="AM116" s="82"/>
      <c r="AN116" s="80" t="e">
        <f t="shared" si="99"/>
        <v>#N/A</v>
      </c>
      <c r="AO116" s="80" t="e">
        <f t="shared" si="100"/>
        <v>#N/A</v>
      </c>
      <c r="AP116" s="81" t="e">
        <f t="shared" si="101"/>
        <v>#N/A</v>
      </c>
      <c r="AQ116" s="81" t="e">
        <f t="shared" si="102"/>
        <v>#VALUE!</v>
      </c>
      <c r="AR116" s="81" t="e">
        <f t="shared" si="103"/>
        <v>#N/A</v>
      </c>
      <c r="AS116" s="81" t="e">
        <f t="shared" si="104"/>
        <v>#N/A</v>
      </c>
      <c r="AT116" s="81" t="e">
        <f t="shared" si="105"/>
        <v>#N/A</v>
      </c>
      <c r="AU116" s="81" t="e">
        <f t="shared" si="106"/>
        <v>#N/A</v>
      </c>
      <c r="AV116" s="81" t="e">
        <f t="shared" si="107"/>
        <v>#N/A</v>
      </c>
      <c r="AW116" s="81" t="e">
        <f t="shared" si="108"/>
        <v>#N/A</v>
      </c>
      <c r="AX116" s="81" t="e">
        <f t="shared" si="109"/>
        <v>#N/A</v>
      </c>
      <c r="AY116" s="81" t="e">
        <f>VLOOKUP($W116,頭囲データ!$R$10:$W$11,3,TRUE)*$W116^3+VLOOKUP($W116,頭囲データ!$R$10:$W$11,4,TRUE)*$W116^2+VLOOKUP($W116,頭囲データ!$R$10:$W$11,5,TRUE)*$W116+VLOOKUP($W116,頭囲データ!$R$10:$W$11,6,TRUE)</f>
        <v>#N/A</v>
      </c>
      <c r="AZ116" s="81" t="e">
        <f>VLOOKUP($W116,頭囲データ!$R$12:$W$16,3,TRUE)*$W116^3+VLOOKUP($W116,頭囲データ!$R$12:$W$16,4,TRUE)*$W116^2+VLOOKUP($W116,頭囲データ!$R$12:$W$16,5,TRUE)*$W116+VLOOKUP($W116,頭囲データ!$R$12:$W$16,6,TRUE)</f>
        <v>#N/A</v>
      </c>
      <c r="BA116" s="81" t="e">
        <f>VLOOKUP($W116,頭囲データ!$R$17:$W$18,3,TRUE)*$W116^3+VLOOKUP($W116,頭囲データ!$R$17:$W$18,4,TRUE)*$W116^2+VLOOKUP($W116,頭囲データ!$R$17:$W$18,5,TRUE)*$W116+VLOOKUP($W116,頭囲データ!$R$17:$W$18,6,TRUE)</f>
        <v>#N/A</v>
      </c>
      <c r="BB116" s="81" t="e">
        <f t="shared" si="110"/>
        <v>#N/A</v>
      </c>
      <c r="BC116" s="81" t="e">
        <f>VLOOKUP($W116,胸囲データ!$R$10:$W$11,3,TRUE)*$W116^3+VLOOKUP($W116,胸囲データ!$R$10:$W$11,4,TRUE)*$W116^2+VLOOKUP($W116,胸囲データ!$R$10:$W$11,5,TRUE)*$W116+VLOOKUP($W116,胸囲データ!$R$10:$W$11,6,TRUE)</f>
        <v>#N/A</v>
      </c>
      <c r="BD116" s="81" t="e">
        <f>VLOOKUP($W116,胸囲データ!$R$12:$W$16,3,TRUE)*$W116^3+VLOOKUP($W116,胸囲データ!$R$12:$W$16,4,TRUE)*$W116^2+VLOOKUP($W116,胸囲データ!$R$12:$W$16,5,TRUE)*$W116+VLOOKUP($W116,胸囲データ!$R$12:$W$16,6,TRUE)</f>
        <v>#N/A</v>
      </c>
      <c r="BE116" s="81" t="e">
        <f>VLOOKUP($W116,胸囲データ!$R$17:$W$18,3,TRUE)*$W116^3+VLOOKUP($W116,胸囲データ!$R$17:$W$18,4,TRUE)*$W116^2+VLOOKUP($W116,胸囲データ!$R$17:$W$18,5,TRUE)*$W116+VLOOKUP($W116,胸囲データ!$R$17:$W$18,6,TRUE)</f>
        <v>#N/A</v>
      </c>
    </row>
    <row r="117" spans="1:57" x14ac:dyDescent="0.15">
      <c r="A117" s="35"/>
      <c r="B117" s="36"/>
      <c r="C117" s="36"/>
      <c r="D117" s="49"/>
      <c r="E117" s="76"/>
      <c r="F117" s="51" t="str">
        <f t="shared" si="86"/>
        <v/>
      </c>
      <c r="G117" s="37" t="str">
        <f t="shared" si="82"/>
        <v/>
      </c>
      <c r="H117" s="38" t="str">
        <f>IF(ISERROR(W117),"",VLOOKUP(W117,成長曲線_データ!$D$4:$AC$214,3,TRUE))</f>
        <v/>
      </c>
      <c r="I117" s="39" t="str">
        <f t="shared" si="88"/>
        <v/>
      </c>
      <c r="J117" s="39" t="str">
        <f t="shared" si="89"/>
        <v/>
      </c>
      <c r="K117" s="39" t="str">
        <f t="shared" si="90"/>
        <v/>
      </c>
      <c r="L117" s="39" t="str">
        <f t="shared" si="87"/>
        <v/>
      </c>
      <c r="M117" s="39" t="str">
        <f t="shared" si="83"/>
        <v/>
      </c>
      <c r="N117" s="39" t="str">
        <f t="shared" si="84"/>
        <v/>
      </c>
      <c r="O117" s="40" t="str">
        <f t="shared" si="91"/>
        <v/>
      </c>
      <c r="P117" s="40" t="str">
        <f t="shared" si="92"/>
        <v/>
      </c>
      <c r="Q117" s="39" t="str">
        <f t="shared" si="63"/>
        <v/>
      </c>
      <c r="R117" s="39" t="str">
        <f t="shared" si="93"/>
        <v/>
      </c>
      <c r="S117" s="39" t="str">
        <f t="shared" si="85"/>
        <v/>
      </c>
      <c r="T117" s="41" t="str">
        <f t="shared" si="94"/>
        <v/>
      </c>
      <c r="V117" s="90"/>
      <c r="W117" s="79" t="e">
        <f t="shared" si="95"/>
        <v>#N/A</v>
      </c>
      <c r="X117" s="79" t="e">
        <f t="shared" si="96"/>
        <v>#N/A</v>
      </c>
      <c r="Y117" s="80" t="e">
        <f>IF(W117="","",VLOOKUP(W117,成長曲線_データ!$D$4:$AC$214,4,TRUE))</f>
        <v>#N/A</v>
      </c>
      <c r="Z117" s="80" t="e">
        <f>IF(W117="","",VLOOKUP(W117,成長曲線_データ!$D$4:$AC$214,12,TRUE))</f>
        <v>#N/A</v>
      </c>
      <c r="AA117" s="81" t="e">
        <f>IF(W117="","",VLOOKUP(W117,成長曲線_データ!$D$4:$AC$214,13,TRUE))</f>
        <v>#N/A</v>
      </c>
      <c r="AB117" s="94" t="e">
        <f t="shared" si="97"/>
        <v>#N/A</v>
      </c>
      <c r="AC117" s="82" t="e">
        <f>IF(W117&lt;0.5,NA(),VLOOKUP((W117+1/8),成長曲線_データ!$V$4:$AA$73,2,TRUE))</f>
        <v>#N/A</v>
      </c>
      <c r="AD117" s="82" t="e">
        <f>IF(W117&lt;1,NA(),VLOOKUP(W117,成長曲線_データ!$V$4:$AA$73,3,TRUE))</f>
        <v>#N/A</v>
      </c>
      <c r="AE117" s="82" t="e">
        <f>IF(W117&lt;=6.5,VLOOKUP(W117,頭囲データ!$C$10:$E$85,2,TRUE),NA())</f>
        <v>#N/A</v>
      </c>
      <c r="AF117" s="82" t="e">
        <f>IF(W117&lt;=6.5,VLOOKUP(W117,頭囲データ!$C$10:$E$85,3,TRUE),NA())</f>
        <v>#N/A</v>
      </c>
      <c r="AG117" s="89" t="str">
        <f>入力!F117&amp;"y"&amp;入力!G117&amp;"m"</f>
        <v>ym</v>
      </c>
      <c r="AH117" s="89" t="e">
        <f>IF(AND(入力!W117&gt;=1,入力!W117&lt;6,入力!B117&gt;=70,入力!B117&lt;=120),入力!B117,NA())</f>
        <v>#N/A</v>
      </c>
      <c r="AI117" s="89" t="e">
        <f>IF(AND(入力!W117&gt;=1,入力!W117&lt;6,入力!B117&gt;=70,入力!B117&lt;=120),入力!X117,NA())</f>
        <v>#N/A</v>
      </c>
      <c r="AJ117" s="89" t="e">
        <f>IF(AND(入力!W117&gt;=6,入力!B117&gt;=100,入力!B117&lt;=184),入力!B117,NA())</f>
        <v>#N/A</v>
      </c>
      <c r="AK117" s="89" t="e">
        <f>IF(AND(入力!W117&gt;=6,入力!B117&gt;=100,入力!B117&lt;=184),入力!X117,NA())</f>
        <v>#N/A</v>
      </c>
      <c r="AL117" s="82" t="e">
        <f t="shared" si="98"/>
        <v>#N/A</v>
      </c>
      <c r="AM117" s="82"/>
      <c r="AN117" s="80" t="e">
        <f t="shared" si="99"/>
        <v>#N/A</v>
      </c>
      <c r="AO117" s="80" t="e">
        <f t="shared" si="100"/>
        <v>#N/A</v>
      </c>
      <c r="AP117" s="81" t="e">
        <f t="shared" si="101"/>
        <v>#N/A</v>
      </c>
      <c r="AQ117" s="81" t="e">
        <f t="shared" si="102"/>
        <v>#VALUE!</v>
      </c>
      <c r="AR117" s="81" t="e">
        <f t="shared" si="103"/>
        <v>#N/A</v>
      </c>
      <c r="AS117" s="81" t="e">
        <f t="shared" si="104"/>
        <v>#N/A</v>
      </c>
      <c r="AT117" s="81" t="e">
        <f t="shared" si="105"/>
        <v>#N/A</v>
      </c>
      <c r="AU117" s="81" t="e">
        <f t="shared" si="106"/>
        <v>#N/A</v>
      </c>
      <c r="AV117" s="81" t="e">
        <f t="shared" si="107"/>
        <v>#N/A</v>
      </c>
      <c r="AW117" s="81" t="e">
        <f t="shared" si="108"/>
        <v>#N/A</v>
      </c>
      <c r="AX117" s="81" t="e">
        <f t="shared" si="109"/>
        <v>#N/A</v>
      </c>
      <c r="AY117" s="81" t="e">
        <f>VLOOKUP($W117,頭囲データ!$R$10:$W$11,3,TRUE)*$W117^3+VLOOKUP($W117,頭囲データ!$R$10:$W$11,4,TRUE)*$W117^2+VLOOKUP($W117,頭囲データ!$R$10:$W$11,5,TRUE)*$W117+VLOOKUP($W117,頭囲データ!$R$10:$W$11,6,TRUE)</f>
        <v>#N/A</v>
      </c>
      <c r="AZ117" s="81" t="e">
        <f>VLOOKUP($W117,頭囲データ!$R$12:$W$16,3,TRUE)*$W117^3+VLOOKUP($W117,頭囲データ!$R$12:$W$16,4,TRUE)*$W117^2+VLOOKUP($W117,頭囲データ!$R$12:$W$16,5,TRUE)*$W117+VLOOKUP($W117,頭囲データ!$R$12:$W$16,6,TRUE)</f>
        <v>#N/A</v>
      </c>
      <c r="BA117" s="81" t="e">
        <f>VLOOKUP($W117,頭囲データ!$R$17:$W$18,3,TRUE)*$W117^3+VLOOKUP($W117,頭囲データ!$R$17:$W$18,4,TRUE)*$W117^2+VLOOKUP($W117,頭囲データ!$R$17:$W$18,5,TRUE)*$W117+VLOOKUP($W117,頭囲データ!$R$17:$W$18,6,TRUE)</f>
        <v>#N/A</v>
      </c>
      <c r="BB117" s="81" t="e">
        <f t="shared" si="110"/>
        <v>#N/A</v>
      </c>
      <c r="BC117" s="81" t="e">
        <f>VLOOKUP($W117,胸囲データ!$R$10:$W$11,3,TRUE)*$W117^3+VLOOKUP($W117,胸囲データ!$R$10:$W$11,4,TRUE)*$W117^2+VLOOKUP($W117,胸囲データ!$R$10:$W$11,5,TRUE)*$W117+VLOOKUP($W117,胸囲データ!$R$10:$W$11,6,TRUE)</f>
        <v>#N/A</v>
      </c>
      <c r="BD117" s="81" t="e">
        <f>VLOOKUP($W117,胸囲データ!$R$12:$W$16,3,TRUE)*$W117^3+VLOOKUP($W117,胸囲データ!$R$12:$W$16,4,TRUE)*$W117^2+VLOOKUP($W117,胸囲データ!$R$12:$W$16,5,TRUE)*$W117+VLOOKUP($W117,胸囲データ!$R$12:$W$16,6,TRUE)</f>
        <v>#N/A</v>
      </c>
      <c r="BE117" s="81" t="e">
        <f>VLOOKUP($W117,胸囲データ!$R$17:$W$18,3,TRUE)*$W117^3+VLOOKUP($W117,胸囲データ!$R$17:$W$18,4,TRUE)*$W117^2+VLOOKUP($W117,胸囲データ!$R$17:$W$18,5,TRUE)*$W117+VLOOKUP($W117,胸囲データ!$R$17:$W$18,6,TRUE)</f>
        <v>#N/A</v>
      </c>
    </row>
    <row r="118" spans="1:57" x14ac:dyDescent="0.15">
      <c r="A118" s="35"/>
      <c r="B118" s="36"/>
      <c r="C118" s="36"/>
      <c r="D118" s="49"/>
      <c r="E118" s="76"/>
      <c r="F118" s="51" t="str">
        <f t="shared" si="86"/>
        <v/>
      </c>
      <c r="G118" s="37" t="str">
        <f t="shared" si="82"/>
        <v/>
      </c>
      <c r="H118" s="38" t="str">
        <f>IF(ISERROR(W118),"",VLOOKUP(W118,成長曲線_データ!$D$4:$AC$214,3,TRUE))</f>
        <v/>
      </c>
      <c r="I118" s="39" t="str">
        <f t="shared" si="88"/>
        <v/>
      </c>
      <c r="J118" s="39" t="str">
        <f t="shared" si="89"/>
        <v/>
      </c>
      <c r="K118" s="39" t="str">
        <f t="shared" si="90"/>
        <v/>
      </c>
      <c r="L118" s="39" t="str">
        <f t="shared" si="87"/>
        <v/>
      </c>
      <c r="M118" s="39" t="str">
        <f t="shared" si="83"/>
        <v/>
      </c>
      <c r="N118" s="39" t="str">
        <f t="shared" si="84"/>
        <v/>
      </c>
      <c r="O118" s="40" t="str">
        <f t="shared" si="91"/>
        <v/>
      </c>
      <c r="P118" s="40" t="str">
        <f t="shared" si="92"/>
        <v/>
      </c>
      <c r="Q118" s="39" t="str">
        <f t="shared" si="63"/>
        <v/>
      </c>
      <c r="R118" s="39" t="str">
        <f t="shared" si="93"/>
        <v/>
      </c>
      <c r="S118" s="39" t="str">
        <f t="shared" si="85"/>
        <v/>
      </c>
      <c r="T118" s="41" t="str">
        <f t="shared" si="94"/>
        <v/>
      </c>
      <c r="V118" s="90"/>
      <c r="W118" s="79" t="e">
        <f t="shared" si="95"/>
        <v>#N/A</v>
      </c>
      <c r="X118" s="79" t="e">
        <f t="shared" si="96"/>
        <v>#N/A</v>
      </c>
      <c r="Y118" s="80" t="e">
        <f>IF(W118="","",VLOOKUP(W118,成長曲線_データ!$D$4:$AC$214,4,TRUE))</f>
        <v>#N/A</v>
      </c>
      <c r="Z118" s="80" t="e">
        <f>IF(W118="","",VLOOKUP(W118,成長曲線_データ!$D$4:$AC$214,12,TRUE))</f>
        <v>#N/A</v>
      </c>
      <c r="AA118" s="81" t="e">
        <f>IF(W118="","",VLOOKUP(W118,成長曲線_データ!$D$4:$AC$214,13,TRUE))</f>
        <v>#N/A</v>
      </c>
      <c r="AB118" s="94" t="e">
        <f t="shared" si="97"/>
        <v>#N/A</v>
      </c>
      <c r="AC118" s="82" t="e">
        <f>IF(W118&lt;0.5,NA(),VLOOKUP((W118+1/8),成長曲線_データ!$V$4:$AA$73,2,TRUE))</f>
        <v>#N/A</v>
      </c>
      <c r="AD118" s="82" t="e">
        <f>IF(W118&lt;1,NA(),VLOOKUP(W118,成長曲線_データ!$V$4:$AA$73,3,TRUE))</f>
        <v>#N/A</v>
      </c>
      <c r="AE118" s="82" t="e">
        <f>IF(W118&lt;=6.5,VLOOKUP(W118,頭囲データ!$C$10:$E$85,2,TRUE),NA())</f>
        <v>#N/A</v>
      </c>
      <c r="AF118" s="82" t="e">
        <f>IF(W118&lt;=6.5,VLOOKUP(W118,頭囲データ!$C$10:$E$85,3,TRUE),NA())</f>
        <v>#N/A</v>
      </c>
      <c r="AG118" s="89" t="str">
        <f>入力!F118&amp;"y"&amp;入力!G118&amp;"m"</f>
        <v>ym</v>
      </c>
      <c r="AH118" s="89" t="e">
        <f>IF(AND(入力!W118&gt;=1,入力!W118&lt;6,入力!B118&gt;=70,入力!B118&lt;=120),入力!B118,NA())</f>
        <v>#N/A</v>
      </c>
      <c r="AI118" s="89" t="e">
        <f>IF(AND(入力!W118&gt;=1,入力!W118&lt;6,入力!B118&gt;=70,入力!B118&lt;=120),入力!X118,NA())</f>
        <v>#N/A</v>
      </c>
      <c r="AJ118" s="89" t="e">
        <f>IF(AND(入力!W118&gt;=6,入力!B118&gt;=100,入力!B118&lt;=184),入力!B118,NA())</f>
        <v>#N/A</v>
      </c>
      <c r="AK118" s="89" t="e">
        <f>IF(AND(入力!W118&gt;=6,入力!B118&gt;=100,入力!B118&lt;=184),入力!X118,NA())</f>
        <v>#N/A</v>
      </c>
      <c r="AL118" s="82" t="e">
        <f t="shared" si="98"/>
        <v>#N/A</v>
      </c>
      <c r="AM118" s="82"/>
      <c r="AN118" s="80" t="e">
        <f t="shared" si="99"/>
        <v>#N/A</v>
      </c>
      <c r="AO118" s="80" t="e">
        <f t="shared" si="100"/>
        <v>#N/A</v>
      </c>
      <c r="AP118" s="81" t="e">
        <f t="shared" si="101"/>
        <v>#N/A</v>
      </c>
      <c r="AQ118" s="81" t="e">
        <f t="shared" si="102"/>
        <v>#VALUE!</v>
      </c>
      <c r="AR118" s="81" t="e">
        <f t="shared" si="103"/>
        <v>#N/A</v>
      </c>
      <c r="AS118" s="81" t="e">
        <f t="shared" si="104"/>
        <v>#N/A</v>
      </c>
      <c r="AT118" s="81" t="e">
        <f t="shared" si="105"/>
        <v>#N/A</v>
      </c>
      <c r="AU118" s="81" t="e">
        <f t="shared" si="106"/>
        <v>#N/A</v>
      </c>
      <c r="AV118" s="81" t="e">
        <f t="shared" si="107"/>
        <v>#N/A</v>
      </c>
      <c r="AW118" s="81" t="e">
        <f t="shared" si="108"/>
        <v>#N/A</v>
      </c>
      <c r="AX118" s="81" t="e">
        <f t="shared" si="109"/>
        <v>#N/A</v>
      </c>
      <c r="AY118" s="81" t="e">
        <f>VLOOKUP($W118,頭囲データ!$R$10:$W$11,3,TRUE)*$W118^3+VLOOKUP($W118,頭囲データ!$R$10:$W$11,4,TRUE)*$W118^2+VLOOKUP($W118,頭囲データ!$R$10:$W$11,5,TRUE)*$W118+VLOOKUP($W118,頭囲データ!$R$10:$W$11,6,TRUE)</f>
        <v>#N/A</v>
      </c>
      <c r="AZ118" s="81" t="e">
        <f>VLOOKUP($W118,頭囲データ!$R$12:$W$16,3,TRUE)*$W118^3+VLOOKUP($W118,頭囲データ!$R$12:$W$16,4,TRUE)*$W118^2+VLOOKUP($W118,頭囲データ!$R$12:$W$16,5,TRUE)*$W118+VLOOKUP($W118,頭囲データ!$R$12:$W$16,6,TRUE)</f>
        <v>#N/A</v>
      </c>
      <c r="BA118" s="81" t="e">
        <f>VLOOKUP($W118,頭囲データ!$R$17:$W$18,3,TRUE)*$W118^3+VLOOKUP($W118,頭囲データ!$R$17:$W$18,4,TRUE)*$W118^2+VLOOKUP($W118,頭囲データ!$R$17:$W$18,5,TRUE)*$W118+VLOOKUP($W118,頭囲データ!$R$17:$W$18,6,TRUE)</f>
        <v>#N/A</v>
      </c>
      <c r="BB118" s="81" t="e">
        <f t="shared" si="110"/>
        <v>#N/A</v>
      </c>
      <c r="BC118" s="81" t="e">
        <f>VLOOKUP($W118,胸囲データ!$R$10:$W$11,3,TRUE)*$W118^3+VLOOKUP($W118,胸囲データ!$R$10:$W$11,4,TRUE)*$W118^2+VLOOKUP($W118,胸囲データ!$R$10:$W$11,5,TRUE)*$W118+VLOOKUP($W118,胸囲データ!$R$10:$W$11,6,TRUE)</f>
        <v>#N/A</v>
      </c>
      <c r="BD118" s="81" t="e">
        <f>VLOOKUP($W118,胸囲データ!$R$12:$W$16,3,TRUE)*$W118^3+VLOOKUP($W118,胸囲データ!$R$12:$W$16,4,TRUE)*$W118^2+VLOOKUP($W118,胸囲データ!$R$12:$W$16,5,TRUE)*$W118+VLOOKUP($W118,胸囲データ!$R$12:$W$16,6,TRUE)</f>
        <v>#N/A</v>
      </c>
      <c r="BE118" s="81" t="e">
        <f>VLOOKUP($W118,胸囲データ!$R$17:$W$18,3,TRUE)*$W118^3+VLOOKUP($W118,胸囲データ!$R$17:$W$18,4,TRUE)*$W118^2+VLOOKUP($W118,胸囲データ!$R$17:$W$18,5,TRUE)*$W118+VLOOKUP($W118,胸囲データ!$R$17:$W$18,6,TRUE)</f>
        <v>#N/A</v>
      </c>
    </row>
    <row r="119" spans="1:57" x14ac:dyDescent="0.15">
      <c r="A119" s="35"/>
      <c r="B119" s="36"/>
      <c r="C119" s="36"/>
      <c r="D119" s="49"/>
      <c r="E119" s="76"/>
      <c r="F119" s="51" t="str">
        <f t="shared" si="86"/>
        <v/>
      </c>
      <c r="G119" s="37" t="str">
        <f t="shared" si="82"/>
        <v/>
      </c>
      <c r="H119" s="38" t="str">
        <f>IF(ISERROR(W119),"",VLOOKUP(W119,成長曲線_データ!$D$4:$AC$214,3,TRUE))</f>
        <v/>
      </c>
      <c r="I119" s="39" t="str">
        <f t="shared" si="88"/>
        <v/>
      </c>
      <c r="J119" s="39" t="str">
        <f t="shared" si="89"/>
        <v/>
      </c>
      <c r="K119" s="39" t="str">
        <f t="shared" si="90"/>
        <v/>
      </c>
      <c r="L119" s="39" t="str">
        <f t="shared" si="87"/>
        <v/>
      </c>
      <c r="M119" s="39" t="str">
        <f t="shared" si="83"/>
        <v/>
      </c>
      <c r="N119" s="39" t="str">
        <f t="shared" si="84"/>
        <v/>
      </c>
      <c r="O119" s="40" t="str">
        <f t="shared" si="91"/>
        <v/>
      </c>
      <c r="P119" s="40" t="str">
        <f t="shared" si="92"/>
        <v/>
      </c>
      <c r="Q119" s="39" t="str">
        <f t="shared" si="63"/>
        <v/>
      </c>
      <c r="R119" s="39" t="str">
        <f t="shared" si="93"/>
        <v/>
      </c>
      <c r="S119" s="39" t="str">
        <f t="shared" si="85"/>
        <v/>
      </c>
      <c r="T119" s="41" t="str">
        <f t="shared" si="94"/>
        <v/>
      </c>
      <c r="V119" s="90"/>
      <c r="W119" s="79" t="e">
        <f t="shared" si="95"/>
        <v>#N/A</v>
      </c>
      <c r="X119" s="79" t="e">
        <f t="shared" si="96"/>
        <v>#N/A</v>
      </c>
      <c r="Y119" s="80" t="e">
        <f>IF(W119="","",VLOOKUP(W119,成長曲線_データ!$D$4:$AC$214,4,TRUE))</f>
        <v>#N/A</v>
      </c>
      <c r="Z119" s="80" t="e">
        <f>IF(W119="","",VLOOKUP(W119,成長曲線_データ!$D$4:$AC$214,12,TRUE))</f>
        <v>#N/A</v>
      </c>
      <c r="AA119" s="81" t="e">
        <f>IF(W119="","",VLOOKUP(W119,成長曲線_データ!$D$4:$AC$214,13,TRUE))</f>
        <v>#N/A</v>
      </c>
      <c r="AB119" s="94" t="e">
        <f t="shared" si="97"/>
        <v>#N/A</v>
      </c>
      <c r="AC119" s="82" t="e">
        <f>IF(W119&lt;0.5,NA(),VLOOKUP((W119+1/8),成長曲線_データ!$V$4:$AA$73,2,TRUE))</f>
        <v>#N/A</v>
      </c>
      <c r="AD119" s="82" t="e">
        <f>IF(W119&lt;1,NA(),VLOOKUP(W119,成長曲線_データ!$V$4:$AA$73,3,TRUE))</f>
        <v>#N/A</v>
      </c>
      <c r="AE119" s="82" t="e">
        <f>IF(W119&lt;=6.5,VLOOKUP(W119,頭囲データ!$C$10:$E$85,2,TRUE),NA())</f>
        <v>#N/A</v>
      </c>
      <c r="AF119" s="82" t="e">
        <f>IF(W119&lt;=6.5,VLOOKUP(W119,頭囲データ!$C$10:$E$85,3,TRUE),NA())</f>
        <v>#N/A</v>
      </c>
      <c r="AG119" s="89" t="str">
        <f>入力!F119&amp;"y"&amp;入力!G119&amp;"m"</f>
        <v>ym</v>
      </c>
      <c r="AH119" s="89" t="e">
        <f>IF(AND(入力!W119&gt;=1,入力!W119&lt;6,入力!B119&gt;=70,入力!B119&lt;=120),入力!B119,NA())</f>
        <v>#N/A</v>
      </c>
      <c r="AI119" s="89" t="e">
        <f>IF(AND(入力!W119&gt;=1,入力!W119&lt;6,入力!B119&gt;=70,入力!B119&lt;=120),入力!X119,NA())</f>
        <v>#N/A</v>
      </c>
      <c r="AJ119" s="89" t="e">
        <f>IF(AND(入力!W119&gt;=6,入力!B119&gt;=100,入力!B119&lt;=184),入力!B119,NA())</f>
        <v>#N/A</v>
      </c>
      <c r="AK119" s="89" t="e">
        <f>IF(AND(入力!W119&gt;=6,入力!B119&gt;=100,入力!B119&lt;=184),入力!X119,NA())</f>
        <v>#N/A</v>
      </c>
      <c r="AL119" s="82" t="e">
        <f t="shared" si="98"/>
        <v>#N/A</v>
      </c>
      <c r="AM119" s="82"/>
      <c r="AN119" s="80" t="e">
        <f t="shared" si="99"/>
        <v>#N/A</v>
      </c>
      <c r="AO119" s="80" t="e">
        <f t="shared" si="100"/>
        <v>#N/A</v>
      </c>
      <c r="AP119" s="81" t="e">
        <f t="shared" si="101"/>
        <v>#N/A</v>
      </c>
      <c r="AQ119" s="81" t="e">
        <f t="shared" si="102"/>
        <v>#VALUE!</v>
      </c>
      <c r="AR119" s="81" t="e">
        <f t="shared" si="103"/>
        <v>#N/A</v>
      </c>
      <c r="AS119" s="81" t="e">
        <f t="shared" si="104"/>
        <v>#N/A</v>
      </c>
      <c r="AT119" s="81" t="e">
        <f t="shared" si="105"/>
        <v>#N/A</v>
      </c>
      <c r="AU119" s="81" t="e">
        <f t="shared" si="106"/>
        <v>#N/A</v>
      </c>
      <c r="AV119" s="81" t="e">
        <f t="shared" si="107"/>
        <v>#N/A</v>
      </c>
      <c r="AW119" s="81" t="e">
        <f t="shared" si="108"/>
        <v>#N/A</v>
      </c>
      <c r="AX119" s="81" t="e">
        <f t="shared" si="109"/>
        <v>#N/A</v>
      </c>
      <c r="AY119" s="81" t="e">
        <f>VLOOKUP($W119,頭囲データ!$R$10:$W$11,3,TRUE)*$W119^3+VLOOKUP($W119,頭囲データ!$R$10:$W$11,4,TRUE)*$W119^2+VLOOKUP($W119,頭囲データ!$R$10:$W$11,5,TRUE)*$W119+VLOOKUP($W119,頭囲データ!$R$10:$W$11,6,TRUE)</f>
        <v>#N/A</v>
      </c>
      <c r="AZ119" s="81" t="e">
        <f>VLOOKUP($W119,頭囲データ!$R$12:$W$16,3,TRUE)*$W119^3+VLOOKUP($W119,頭囲データ!$R$12:$W$16,4,TRUE)*$W119^2+VLOOKUP($W119,頭囲データ!$R$12:$W$16,5,TRUE)*$W119+VLOOKUP($W119,頭囲データ!$R$12:$W$16,6,TRUE)</f>
        <v>#N/A</v>
      </c>
      <c r="BA119" s="81" t="e">
        <f>VLOOKUP($W119,頭囲データ!$R$17:$W$18,3,TRUE)*$W119^3+VLOOKUP($W119,頭囲データ!$R$17:$W$18,4,TRUE)*$W119^2+VLOOKUP($W119,頭囲データ!$R$17:$W$18,5,TRUE)*$W119+VLOOKUP($W119,頭囲データ!$R$17:$W$18,6,TRUE)</f>
        <v>#N/A</v>
      </c>
      <c r="BB119" s="81" t="e">
        <f t="shared" si="110"/>
        <v>#N/A</v>
      </c>
      <c r="BC119" s="81" t="e">
        <f>VLOOKUP($W119,胸囲データ!$R$10:$W$11,3,TRUE)*$W119^3+VLOOKUP($W119,胸囲データ!$R$10:$W$11,4,TRUE)*$W119^2+VLOOKUP($W119,胸囲データ!$R$10:$W$11,5,TRUE)*$W119+VLOOKUP($W119,胸囲データ!$R$10:$W$11,6,TRUE)</f>
        <v>#N/A</v>
      </c>
      <c r="BD119" s="81" t="e">
        <f>VLOOKUP($W119,胸囲データ!$R$12:$W$16,3,TRUE)*$W119^3+VLOOKUP($W119,胸囲データ!$R$12:$W$16,4,TRUE)*$W119^2+VLOOKUP($W119,胸囲データ!$R$12:$W$16,5,TRUE)*$W119+VLOOKUP($W119,胸囲データ!$R$12:$W$16,6,TRUE)</f>
        <v>#N/A</v>
      </c>
      <c r="BE119" s="81" t="e">
        <f>VLOOKUP($W119,胸囲データ!$R$17:$W$18,3,TRUE)*$W119^3+VLOOKUP($W119,胸囲データ!$R$17:$W$18,4,TRUE)*$W119^2+VLOOKUP($W119,胸囲データ!$R$17:$W$18,5,TRUE)*$W119+VLOOKUP($W119,胸囲データ!$R$17:$W$18,6,TRUE)</f>
        <v>#N/A</v>
      </c>
    </row>
    <row r="120" spans="1:57" x14ac:dyDescent="0.15">
      <c r="A120" s="35"/>
      <c r="B120" s="36"/>
      <c r="C120" s="36"/>
      <c r="D120" s="49"/>
      <c r="E120" s="76"/>
      <c r="F120" s="51" t="str">
        <f t="shared" si="86"/>
        <v/>
      </c>
      <c r="G120" s="37" t="str">
        <f t="shared" si="82"/>
        <v/>
      </c>
      <c r="H120" s="38" t="str">
        <f>IF(ISERROR(W120),"",VLOOKUP(W120,成長曲線_データ!$D$4:$AC$214,3,TRUE))</f>
        <v/>
      </c>
      <c r="I120" s="39" t="str">
        <f t="shared" si="88"/>
        <v/>
      </c>
      <c r="J120" s="39" t="str">
        <f t="shared" si="89"/>
        <v/>
      </c>
      <c r="K120" s="39" t="str">
        <f t="shared" si="90"/>
        <v/>
      </c>
      <c r="L120" s="39" t="str">
        <f t="shared" si="87"/>
        <v/>
      </c>
      <c r="M120" s="39" t="str">
        <f t="shared" si="83"/>
        <v/>
      </c>
      <c r="N120" s="39" t="str">
        <f t="shared" si="84"/>
        <v/>
      </c>
      <c r="O120" s="40" t="str">
        <f t="shared" si="91"/>
        <v/>
      </c>
      <c r="P120" s="40" t="str">
        <f t="shared" si="92"/>
        <v/>
      </c>
      <c r="Q120" s="39" t="str">
        <f t="shared" si="63"/>
        <v/>
      </c>
      <c r="R120" s="39" t="str">
        <f t="shared" si="93"/>
        <v/>
      </c>
      <c r="S120" s="39" t="str">
        <f t="shared" si="85"/>
        <v/>
      </c>
      <c r="T120" s="41" t="str">
        <f t="shared" si="94"/>
        <v/>
      </c>
      <c r="V120" s="90"/>
      <c r="W120" s="79" t="e">
        <f t="shared" si="95"/>
        <v>#N/A</v>
      </c>
      <c r="X120" s="79" t="e">
        <f t="shared" si="96"/>
        <v>#N/A</v>
      </c>
      <c r="Y120" s="80" t="e">
        <f>IF(W120="","",VLOOKUP(W120,成長曲線_データ!$D$4:$AC$214,4,TRUE))</f>
        <v>#N/A</v>
      </c>
      <c r="Z120" s="80" t="e">
        <f>IF(W120="","",VLOOKUP(W120,成長曲線_データ!$D$4:$AC$214,12,TRUE))</f>
        <v>#N/A</v>
      </c>
      <c r="AA120" s="81" t="e">
        <f>IF(W120="","",VLOOKUP(W120,成長曲線_データ!$D$4:$AC$214,13,TRUE))</f>
        <v>#N/A</v>
      </c>
      <c r="AB120" s="94" t="e">
        <f t="shared" si="97"/>
        <v>#N/A</v>
      </c>
      <c r="AC120" s="82" t="e">
        <f>IF(W120&lt;0.5,NA(),VLOOKUP((W120+1/8),成長曲線_データ!$V$4:$AA$73,2,TRUE))</f>
        <v>#N/A</v>
      </c>
      <c r="AD120" s="82" t="e">
        <f>IF(W120&lt;1,NA(),VLOOKUP(W120,成長曲線_データ!$V$4:$AA$73,3,TRUE))</f>
        <v>#N/A</v>
      </c>
      <c r="AE120" s="82" t="e">
        <f>IF(W120&lt;=6.5,VLOOKUP(W120,頭囲データ!$C$10:$E$85,2,TRUE),NA())</f>
        <v>#N/A</v>
      </c>
      <c r="AF120" s="82" t="e">
        <f>IF(W120&lt;=6.5,VLOOKUP(W120,頭囲データ!$C$10:$E$85,3,TRUE),NA())</f>
        <v>#N/A</v>
      </c>
      <c r="AG120" s="89" t="str">
        <f>入力!F120&amp;"y"&amp;入力!G120&amp;"m"</f>
        <v>ym</v>
      </c>
      <c r="AH120" s="89" t="e">
        <f>IF(AND(入力!W120&gt;=1,入力!W120&lt;6,入力!B120&gt;=70,入力!B120&lt;=120),入力!B120,NA())</f>
        <v>#N/A</v>
      </c>
      <c r="AI120" s="89" t="e">
        <f>IF(AND(入力!W120&gt;=1,入力!W120&lt;6,入力!B120&gt;=70,入力!B120&lt;=120),入力!X120,NA())</f>
        <v>#N/A</v>
      </c>
      <c r="AJ120" s="89" t="e">
        <f>IF(AND(入力!W120&gt;=6,入力!B120&gt;=100,入力!B120&lt;=184),入力!B120,NA())</f>
        <v>#N/A</v>
      </c>
      <c r="AK120" s="89" t="e">
        <f>IF(AND(入力!W120&gt;=6,入力!B120&gt;=100,入力!B120&lt;=184),入力!X120,NA())</f>
        <v>#N/A</v>
      </c>
      <c r="AL120" s="82" t="e">
        <f t="shared" si="98"/>
        <v>#N/A</v>
      </c>
      <c r="AM120" s="82"/>
      <c r="AN120" s="80" t="e">
        <f t="shared" si="99"/>
        <v>#N/A</v>
      </c>
      <c r="AO120" s="80" t="e">
        <f t="shared" si="100"/>
        <v>#N/A</v>
      </c>
      <c r="AP120" s="81" t="e">
        <f t="shared" si="101"/>
        <v>#N/A</v>
      </c>
      <c r="AQ120" s="81" t="e">
        <f t="shared" si="102"/>
        <v>#VALUE!</v>
      </c>
      <c r="AR120" s="81" t="e">
        <f t="shared" si="103"/>
        <v>#N/A</v>
      </c>
      <c r="AS120" s="81" t="e">
        <f t="shared" si="104"/>
        <v>#N/A</v>
      </c>
      <c r="AT120" s="81" t="e">
        <f t="shared" si="105"/>
        <v>#N/A</v>
      </c>
      <c r="AU120" s="81" t="e">
        <f t="shared" si="106"/>
        <v>#N/A</v>
      </c>
      <c r="AV120" s="81" t="e">
        <f t="shared" si="107"/>
        <v>#N/A</v>
      </c>
      <c r="AW120" s="81" t="e">
        <f t="shared" si="108"/>
        <v>#N/A</v>
      </c>
      <c r="AX120" s="81" t="e">
        <f t="shared" si="109"/>
        <v>#N/A</v>
      </c>
      <c r="AY120" s="81" t="e">
        <f>VLOOKUP($W120,頭囲データ!$R$10:$W$11,3,TRUE)*$W120^3+VLOOKUP($W120,頭囲データ!$R$10:$W$11,4,TRUE)*$W120^2+VLOOKUP($W120,頭囲データ!$R$10:$W$11,5,TRUE)*$W120+VLOOKUP($W120,頭囲データ!$R$10:$W$11,6,TRUE)</f>
        <v>#N/A</v>
      </c>
      <c r="AZ120" s="81" t="e">
        <f>VLOOKUP($W120,頭囲データ!$R$12:$W$16,3,TRUE)*$W120^3+VLOOKUP($W120,頭囲データ!$R$12:$W$16,4,TRUE)*$W120^2+VLOOKUP($W120,頭囲データ!$R$12:$W$16,5,TRUE)*$W120+VLOOKUP($W120,頭囲データ!$R$12:$W$16,6,TRUE)</f>
        <v>#N/A</v>
      </c>
      <c r="BA120" s="81" t="e">
        <f>VLOOKUP($W120,頭囲データ!$R$17:$W$18,3,TRUE)*$W120^3+VLOOKUP($W120,頭囲データ!$R$17:$W$18,4,TRUE)*$W120^2+VLOOKUP($W120,頭囲データ!$R$17:$W$18,5,TRUE)*$W120+VLOOKUP($W120,頭囲データ!$R$17:$W$18,6,TRUE)</f>
        <v>#N/A</v>
      </c>
      <c r="BB120" s="81" t="e">
        <f t="shared" si="110"/>
        <v>#N/A</v>
      </c>
      <c r="BC120" s="81" t="e">
        <f>VLOOKUP($W120,胸囲データ!$R$10:$W$11,3,TRUE)*$W120^3+VLOOKUP($W120,胸囲データ!$R$10:$W$11,4,TRUE)*$W120^2+VLOOKUP($W120,胸囲データ!$R$10:$W$11,5,TRUE)*$W120+VLOOKUP($W120,胸囲データ!$R$10:$W$11,6,TRUE)</f>
        <v>#N/A</v>
      </c>
      <c r="BD120" s="81" t="e">
        <f>VLOOKUP($W120,胸囲データ!$R$12:$W$16,3,TRUE)*$W120^3+VLOOKUP($W120,胸囲データ!$R$12:$W$16,4,TRUE)*$W120^2+VLOOKUP($W120,胸囲データ!$R$12:$W$16,5,TRUE)*$W120+VLOOKUP($W120,胸囲データ!$R$12:$W$16,6,TRUE)</f>
        <v>#N/A</v>
      </c>
      <c r="BE120" s="81" t="e">
        <f>VLOOKUP($W120,胸囲データ!$R$17:$W$18,3,TRUE)*$W120^3+VLOOKUP($W120,胸囲データ!$R$17:$W$18,4,TRUE)*$W120^2+VLOOKUP($W120,胸囲データ!$R$17:$W$18,5,TRUE)*$W120+VLOOKUP($W120,胸囲データ!$R$17:$W$18,6,TRUE)</f>
        <v>#N/A</v>
      </c>
    </row>
    <row r="121" spans="1:57" x14ac:dyDescent="0.15">
      <c r="A121" s="35"/>
      <c r="B121" s="36"/>
      <c r="C121" s="36"/>
      <c r="D121" s="49"/>
      <c r="E121" s="76"/>
      <c r="F121" s="51" t="str">
        <f t="shared" si="86"/>
        <v/>
      </c>
      <c r="G121" s="37" t="str">
        <f t="shared" si="82"/>
        <v/>
      </c>
      <c r="H121" s="38" t="str">
        <f>IF(ISERROR(W121),"",VLOOKUP(W121,成長曲線_データ!$D$4:$AC$214,3,TRUE))</f>
        <v/>
      </c>
      <c r="I121" s="39" t="str">
        <f t="shared" si="88"/>
        <v/>
      </c>
      <c r="J121" s="39" t="str">
        <f t="shared" si="89"/>
        <v/>
      </c>
      <c r="K121" s="39" t="str">
        <f t="shared" si="90"/>
        <v/>
      </c>
      <c r="L121" s="39" t="str">
        <f t="shared" si="87"/>
        <v/>
      </c>
      <c r="M121" s="39" t="str">
        <f t="shared" si="83"/>
        <v/>
      </c>
      <c r="N121" s="39" t="str">
        <f t="shared" si="84"/>
        <v/>
      </c>
      <c r="O121" s="40" t="str">
        <f t="shared" si="91"/>
        <v/>
      </c>
      <c r="P121" s="40" t="str">
        <f t="shared" si="92"/>
        <v/>
      </c>
      <c r="Q121" s="39" t="str">
        <f t="shared" si="63"/>
        <v/>
      </c>
      <c r="R121" s="39" t="str">
        <f t="shared" si="93"/>
        <v/>
      </c>
      <c r="S121" s="39" t="str">
        <f t="shared" si="85"/>
        <v/>
      </c>
      <c r="T121" s="41" t="str">
        <f t="shared" si="94"/>
        <v/>
      </c>
      <c r="V121" s="90"/>
      <c r="W121" s="79" t="e">
        <f t="shared" si="95"/>
        <v>#N/A</v>
      </c>
      <c r="X121" s="79" t="e">
        <f t="shared" si="96"/>
        <v>#N/A</v>
      </c>
      <c r="Y121" s="80" t="e">
        <f>IF(W121="","",VLOOKUP(W121,成長曲線_データ!$D$4:$AC$214,4,TRUE))</f>
        <v>#N/A</v>
      </c>
      <c r="Z121" s="80" t="e">
        <f>IF(W121="","",VLOOKUP(W121,成長曲線_データ!$D$4:$AC$214,12,TRUE))</f>
        <v>#N/A</v>
      </c>
      <c r="AA121" s="81" t="e">
        <f>IF(W121="","",VLOOKUP(W121,成長曲線_データ!$D$4:$AC$214,13,TRUE))</f>
        <v>#N/A</v>
      </c>
      <c r="AB121" s="94" t="e">
        <f t="shared" si="97"/>
        <v>#N/A</v>
      </c>
      <c r="AC121" s="82" t="e">
        <f>IF(W121&lt;0.5,NA(),VLOOKUP((W121+1/8),成長曲線_データ!$V$4:$AA$73,2,TRUE))</f>
        <v>#N/A</v>
      </c>
      <c r="AD121" s="82" t="e">
        <f>IF(W121&lt;1,NA(),VLOOKUP(W121,成長曲線_データ!$V$4:$AA$73,3,TRUE))</f>
        <v>#N/A</v>
      </c>
      <c r="AE121" s="82" t="e">
        <f>IF(W121&lt;=6.5,VLOOKUP(W121,頭囲データ!$C$10:$E$85,2,TRUE),NA())</f>
        <v>#N/A</v>
      </c>
      <c r="AF121" s="82" t="e">
        <f>IF(W121&lt;=6.5,VLOOKUP(W121,頭囲データ!$C$10:$E$85,3,TRUE),NA())</f>
        <v>#N/A</v>
      </c>
      <c r="AG121" s="89" t="str">
        <f>入力!F121&amp;"y"&amp;入力!G121&amp;"m"</f>
        <v>ym</v>
      </c>
      <c r="AH121" s="89" t="e">
        <f>IF(AND(入力!W121&gt;=1,入力!W121&lt;6,入力!B121&gt;=70,入力!B121&lt;=120),入力!B121,NA())</f>
        <v>#N/A</v>
      </c>
      <c r="AI121" s="89" t="e">
        <f>IF(AND(入力!W121&gt;=1,入力!W121&lt;6,入力!B121&gt;=70,入力!B121&lt;=120),入力!X121,NA())</f>
        <v>#N/A</v>
      </c>
      <c r="AJ121" s="89" t="e">
        <f>IF(AND(入力!W121&gt;=6,入力!B121&gt;=100,入力!B121&lt;=184),入力!B121,NA())</f>
        <v>#N/A</v>
      </c>
      <c r="AK121" s="89" t="e">
        <f>IF(AND(入力!W121&gt;=6,入力!B121&gt;=100,入力!B121&lt;=184),入力!X121,NA())</f>
        <v>#N/A</v>
      </c>
      <c r="AL121" s="82" t="e">
        <f t="shared" si="98"/>
        <v>#N/A</v>
      </c>
      <c r="AM121" s="82"/>
      <c r="AN121" s="80" t="e">
        <f t="shared" si="99"/>
        <v>#N/A</v>
      </c>
      <c r="AO121" s="80" t="e">
        <f t="shared" si="100"/>
        <v>#N/A</v>
      </c>
      <c r="AP121" s="81" t="e">
        <f t="shared" si="101"/>
        <v>#N/A</v>
      </c>
      <c r="AQ121" s="81" t="e">
        <f t="shared" si="102"/>
        <v>#VALUE!</v>
      </c>
      <c r="AR121" s="81" t="e">
        <f t="shared" si="103"/>
        <v>#N/A</v>
      </c>
      <c r="AS121" s="81" t="e">
        <f t="shared" si="104"/>
        <v>#N/A</v>
      </c>
      <c r="AT121" s="81" t="e">
        <f t="shared" si="105"/>
        <v>#N/A</v>
      </c>
      <c r="AU121" s="81" t="e">
        <f t="shared" si="106"/>
        <v>#N/A</v>
      </c>
      <c r="AV121" s="81" t="e">
        <f t="shared" si="107"/>
        <v>#N/A</v>
      </c>
      <c r="AW121" s="81" t="e">
        <f t="shared" si="108"/>
        <v>#N/A</v>
      </c>
      <c r="AX121" s="81" t="e">
        <f t="shared" si="109"/>
        <v>#N/A</v>
      </c>
      <c r="AY121" s="81" t="e">
        <f>VLOOKUP($W121,頭囲データ!$R$10:$W$11,3,TRUE)*$W121^3+VLOOKUP($W121,頭囲データ!$R$10:$W$11,4,TRUE)*$W121^2+VLOOKUP($W121,頭囲データ!$R$10:$W$11,5,TRUE)*$W121+VLOOKUP($W121,頭囲データ!$R$10:$W$11,6,TRUE)</f>
        <v>#N/A</v>
      </c>
      <c r="AZ121" s="81" t="e">
        <f>VLOOKUP($W121,頭囲データ!$R$12:$W$16,3,TRUE)*$W121^3+VLOOKUP($W121,頭囲データ!$R$12:$W$16,4,TRUE)*$W121^2+VLOOKUP($W121,頭囲データ!$R$12:$W$16,5,TRUE)*$W121+VLOOKUP($W121,頭囲データ!$R$12:$W$16,6,TRUE)</f>
        <v>#N/A</v>
      </c>
      <c r="BA121" s="81" t="e">
        <f>VLOOKUP($W121,頭囲データ!$R$17:$W$18,3,TRUE)*$W121^3+VLOOKUP($W121,頭囲データ!$R$17:$W$18,4,TRUE)*$W121^2+VLOOKUP($W121,頭囲データ!$R$17:$W$18,5,TRUE)*$W121+VLOOKUP($W121,頭囲データ!$R$17:$W$18,6,TRUE)</f>
        <v>#N/A</v>
      </c>
      <c r="BB121" s="81" t="e">
        <f t="shared" si="110"/>
        <v>#N/A</v>
      </c>
      <c r="BC121" s="81" t="e">
        <f>VLOOKUP($W121,胸囲データ!$R$10:$W$11,3,TRUE)*$W121^3+VLOOKUP($W121,胸囲データ!$R$10:$W$11,4,TRUE)*$W121^2+VLOOKUP($W121,胸囲データ!$R$10:$W$11,5,TRUE)*$W121+VLOOKUP($W121,胸囲データ!$R$10:$W$11,6,TRUE)</f>
        <v>#N/A</v>
      </c>
      <c r="BD121" s="81" t="e">
        <f>VLOOKUP($W121,胸囲データ!$R$12:$W$16,3,TRUE)*$W121^3+VLOOKUP($W121,胸囲データ!$R$12:$W$16,4,TRUE)*$W121^2+VLOOKUP($W121,胸囲データ!$R$12:$W$16,5,TRUE)*$W121+VLOOKUP($W121,胸囲データ!$R$12:$W$16,6,TRUE)</f>
        <v>#N/A</v>
      </c>
      <c r="BE121" s="81" t="e">
        <f>VLOOKUP($W121,胸囲データ!$R$17:$W$18,3,TRUE)*$W121^3+VLOOKUP($W121,胸囲データ!$R$17:$W$18,4,TRUE)*$W121^2+VLOOKUP($W121,胸囲データ!$R$17:$W$18,5,TRUE)*$W121+VLOOKUP($W121,胸囲データ!$R$17:$W$18,6,TRUE)</f>
        <v>#N/A</v>
      </c>
    </row>
    <row r="122" spans="1:57" x14ac:dyDescent="0.15">
      <c r="A122" s="35"/>
      <c r="B122" s="36"/>
      <c r="C122" s="36"/>
      <c r="D122" s="49"/>
      <c r="E122" s="76"/>
      <c r="F122" s="51" t="str">
        <f t="shared" si="86"/>
        <v/>
      </c>
      <c r="G122" s="37" t="str">
        <f t="shared" si="82"/>
        <v/>
      </c>
      <c r="H122" s="38" t="str">
        <f>IF(ISERROR(W122),"",VLOOKUP(W122,成長曲線_データ!$D$4:$AC$214,3,TRUE))</f>
        <v/>
      </c>
      <c r="I122" s="39" t="str">
        <f t="shared" si="88"/>
        <v/>
      </c>
      <c r="J122" s="39" t="str">
        <f t="shared" si="89"/>
        <v/>
      </c>
      <c r="K122" s="39" t="str">
        <f t="shared" si="90"/>
        <v/>
      </c>
      <c r="L122" s="39" t="str">
        <f t="shared" si="87"/>
        <v/>
      </c>
      <c r="M122" s="39" t="str">
        <f t="shared" si="83"/>
        <v/>
      </c>
      <c r="N122" s="39" t="str">
        <f t="shared" si="84"/>
        <v/>
      </c>
      <c r="O122" s="40" t="str">
        <f t="shared" si="91"/>
        <v/>
      </c>
      <c r="P122" s="40" t="str">
        <f t="shared" si="92"/>
        <v/>
      </c>
      <c r="Q122" s="39" t="str">
        <f t="shared" si="63"/>
        <v/>
      </c>
      <c r="R122" s="39" t="str">
        <f t="shared" si="93"/>
        <v/>
      </c>
      <c r="S122" s="39" t="str">
        <f t="shared" si="85"/>
        <v/>
      </c>
      <c r="T122" s="41" t="str">
        <f t="shared" si="94"/>
        <v/>
      </c>
      <c r="V122" s="90"/>
      <c r="W122" s="79" t="e">
        <f t="shared" si="95"/>
        <v>#N/A</v>
      </c>
      <c r="X122" s="79" t="e">
        <f t="shared" si="96"/>
        <v>#N/A</v>
      </c>
      <c r="Y122" s="80" t="e">
        <f>IF(W122="","",VLOOKUP(W122,成長曲線_データ!$D$4:$AC$214,4,TRUE))</f>
        <v>#N/A</v>
      </c>
      <c r="Z122" s="80" t="e">
        <f>IF(W122="","",VLOOKUP(W122,成長曲線_データ!$D$4:$AC$214,12,TRUE))</f>
        <v>#N/A</v>
      </c>
      <c r="AA122" s="81" t="e">
        <f>IF(W122="","",VLOOKUP(W122,成長曲線_データ!$D$4:$AC$214,13,TRUE))</f>
        <v>#N/A</v>
      </c>
      <c r="AB122" s="94" t="e">
        <f t="shared" si="97"/>
        <v>#N/A</v>
      </c>
      <c r="AC122" s="82" t="e">
        <f>IF(W122&lt;0.5,NA(),VLOOKUP((W122+1/8),成長曲線_データ!$V$4:$AA$73,2,TRUE))</f>
        <v>#N/A</v>
      </c>
      <c r="AD122" s="82" t="e">
        <f>IF(W122&lt;1,NA(),VLOOKUP(W122,成長曲線_データ!$V$4:$AA$73,3,TRUE))</f>
        <v>#N/A</v>
      </c>
      <c r="AE122" s="82" t="e">
        <f>IF(W122&lt;=6.5,VLOOKUP(W122,頭囲データ!$C$10:$E$85,2,TRUE),NA())</f>
        <v>#N/A</v>
      </c>
      <c r="AF122" s="82" t="e">
        <f>IF(W122&lt;=6.5,VLOOKUP(W122,頭囲データ!$C$10:$E$85,3,TRUE),NA())</f>
        <v>#N/A</v>
      </c>
      <c r="AG122" s="89" t="str">
        <f>入力!F122&amp;"y"&amp;入力!G122&amp;"m"</f>
        <v>ym</v>
      </c>
      <c r="AH122" s="89" t="e">
        <f>IF(AND(入力!W122&gt;=1,入力!W122&lt;6,入力!B122&gt;=70,入力!B122&lt;=120),入力!B122,NA())</f>
        <v>#N/A</v>
      </c>
      <c r="AI122" s="89" t="e">
        <f>IF(AND(入力!W122&gt;=1,入力!W122&lt;6,入力!B122&gt;=70,入力!B122&lt;=120),入力!X122,NA())</f>
        <v>#N/A</v>
      </c>
      <c r="AJ122" s="89" t="e">
        <f>IF(AND(入力!W122&gt;=6,入力!B122&gt;=100,入力!B122&lt;=184),入力!B122,NA())</f>
        <v>#N/A</v>
      </c>
      <c r="AK122" s="89" t="e">
        <f>IF(AND(入力!W122&gt;=6,入力!B122&gt;=100,入力!B122&lt;=184),入力!X122,NA())</f>
        <v>#N/A</v>
      </c>
      <c r="AL122" s="82" t="e">
        <f t="shared" si="98"/>
        <v>#N/A</v>
      </c>
      <c r="AM122" s="82"/>
      <c r="AN122" s="80" t="e">
        <f t="shared" si="99"/>
        <v>#N/A</v>
      </c>
      <c r="AO122" s="80" t="e">
        <f t="shared" si="100"/>
        <v>#N/A</v>
      </c>
      <c r="AP122" s="81" t="e">
        <f t="shared" si="101"/>
        <v>#N/A</v>
      </c>
      <c r="AQ122" s="81" t="e">
        <f t="shared" si="102"/>
        <v>#VALUE!</v>
      </c>
      <c r="AR122" s="81" t="e">
        <f t="shared" si="103"/>
        <v>#N/A</v>
      </c>
      <c r="AS122" s="81" t="e">
        <f t="shared" si="104"/>
        <v>#N/A</v>
      </c>
      <c r="AT122" s="81" t="e">
        <f t="shared" si="105"/>
        <v>#N/A</v>
      </c>
      <c r="AU122" s="81" t="e">
        <f t="shared" si="106"/>
        <v>#N/A</v>
      </c>
      <c r="AV122" s="81" t="e">
        <f t="shared" si="107"/>
        <v>#N/A</v>
      </c>
      <c r="AW122" s="81" t="e">
        <f t="shared" si="108"/>
        <v>#N/A</v>
      </c>
      <c r="AX122" s="81" t="e">
        <f t="shared" si="109"/>
        <v>#N/A</v>
      </c>
      <c r="AY122" s="81" t="e">
        <f>VLOOKUP($W122,頭囲データ!$R$10:$W$11,3,TRUE)*$W122^3+VLOOKUP($W122,頭囲データ!$R$10:$W$11,4,TRUE)*$W122^2+VLOOKUP($W122,頭囲データ!$R$10:$W$11,5,TRUE)*$W122+VLOOKUP($W122,頭囲データ!$R$10:$W$11,6,TRUE)</f>
        <v>#N/A</v>
      </c>
      <c r="AZ122" s="81" t="e">
        <f>VLOOKUP($W122,頭囲データ!$R$12:$W$16,3,TRUE)*$W122^3+VLOOKUP($W122,頭囲データ!$R$12:$W$16,4,TRUE)*$W122^2+VLOOKUP($W122,頭囲データ!$R$12:$W$16,5,TRUE)*$W122+VLOOKUP($W122,頭囲データ!$R$12:$W$16,6,TRUE)</f>
        <v>#N/A</v>
      </c>
      <c r="BA122" s="81" t="e">
        <f>VLOOKUP($W122,頭囲データ!$R$17:$W$18,3,TRUE)*$W122^3+VLOOKUP($W122,頭囲データ!$R$17:$W$18,4,TRUE)*$W122^2+VLOOKUP($W122,頭囲データ!$R$17:$W$18,5,TRUE)*$W122+VLOOKUP($W122,頭囲データ!$R$17:$W$18,6,TRUE)</f>
        <v>#N/A</v>
      </c>
      <c r="BB122" s="81" t="e">
        <f t="shared" si="110"/>
        <v>#N/A</v>
      </c>
      <c r="BC122" s="81" t="e">
        <f>VLOOKUP($W122,胸囲データ!$R$10:$W$11,3,TRUE)*$W122^3+VLOOKUP($W122,胸囲データ!$R$10:$W$11,4,TRUE)*$W122^2+VLOOKUP($W122,胸囲データ!$R$10:$W$11,5,TRUE)*$W122+VLOOKUP($W122,胸囲データ!$R$10:$W$11,6,TRUE)</f>
        <v>#N/A</v>
      </c>
      <c r="BD122" s="81" t="e">
        <f>VLOOKUP($W122,胸囲データ!$R$12:$W$16,3,TRUE)*$W122^3+VLOOKUP($W122,胸囲データ!$R$12:$W$16,4,TRUE)*$W122^2+VLOOKUP($W122,胸囲データ!$R$12:$W$16,5,TRUE)*$W122+VLOOKUP($W122,胸囲データ!$R$12:$W$16,6,TRUE)</f>
        <v>#N/A</v>
      </c>
      <c r="BE122" s="81" t="e">
        <f>VLOOKUP($W122,胸囲データ!$R$17:$W$18,3,TRUE)*$W122^3+VLOOKUP($W122,胸囲データ!$R$17:$W$18,4,TRUE)*$W122^2+VLOOKUP($W122,胸囲データ!$R$17:$W$18,5,TRUE)*$W122+VLOOKUP($W122,胸囲データ!$R$17:$W$18,6,TRUE)</f>
        <v>#N/A</v>
      </c>
    </row>
    <row r="123" spans="1:57" x14ac:dyDescent="0.15">
      <c r="A123" s="35"/>
      <c r="B123" s="36"/>
      <c r="C123" s="36"/>
      <c r="D123" s="49"/>
      <c r="E123" s="76"/>
      <c r="F123" s="51" t="str">
        <f t="shared" si="86"/>
        <v/>
      </c>
      <c r="G123" s="37" t="str">
        <f t="shared" si="82"/>
        <v/>
      </c>
      <c r="H123" s="38" t="str">
        <f>IF(ISERROR(W123),"",VLOOKUP(W123,成長曲線_データ!$D$4:$AC$214,3,TRUE))</f>
        <v/>
      </c>
      <c r="I123" s="39" t="str">
        <f t="shared" si="88"/>
        <v/>
      </c>
      <c r="J123" s="39" t="str">
        <f t="shared" si="89"/>
        <v/>
      </c>
      <c r="K123" s="39" t="str">
        <f t="shared" si="90"/>
        <v/>
      </c>
      <c r="L123" s="39" t="str">
        <f t="shared" si="87"/>
        <v/>
      </c>
      <c r="M123" s="39" t="str">
        <f t="shared" si="83"/>
        <v/>
      </c>
      <c r="N123" s="39" t="str">
        <f t="shared" si="84"/>
        <v/>
      </c>
      <c r="O123" s="40" t="str">
        <f t="shared" si="91"/>
        <v/>
      </c>
      <c r="P123" s="40" t="str">
        <f t="shared" si="92"/>
        <v/>
      </c>
      <c r="Q123" s="39" t="str">
        <f t="shared" si="63"/>
        <v/>
      </c>
      <c r="R123" s="39" t="str">
        <f t="shared" si="93"/>
        <v/>
      </c>
      <c r="S123" s="39" t="str">
        <f t="shared" si="85"/>
        <v/>
      </c>
      <c r="T123" s="41" t="str">
        <f t="shared" si="94"/>
        <v/>
      </c>
      <c r="V123" s="90"/>
      <c r="W123" s="79" t="e">
        <f t="shared" si="95"/>
        <v>#N/A</v>
      </c>
      <c r="X123" s="79" t="e">
        <f t="shared" si="96"/>
        <v>#N/A</v>
      </c>
      <c r="Y123" s="80" t="e">
        <f>IF(W123="","",VLOOKUP(W123,成長曲線_データ!$D$4:$AC$214,4,TRUE))</f>
        <v>#N/A</v>
      </c>
      <c r="Z123" s="80" t="e">
        <f>IF(W123="","",VLOOKUP(W123,成長曲線_データ!$D$4:$AC$214,12,TRUE))</f>
        <v>#N/A</v>
      </c>
      <c r="AA123" s="81" t="e">
        <f>IF(W123="","",VLOOKUP(W123,成長曲線_データ!$D$4:$AC$214,13,TRUE))</f>
        <v>#N/A</v>
      </c>
      <c r="AB123" s="94" t="e">
        <f t="shared" si="97"/>
        <v>#N/A</v>
      </c>
      <c r="AC123" s="82" t="e">
        <f>IF(W123&lt;0.5,NA(),VLOOKUP((W123+1/8),成長曲線_データ!$V$4:$AA$73,2,TRUE))</f>
        <v>#N/A</v>
      </c>
      <c r="AD123" s="82" t="e">
        <f>IF(W123&lt;1,NA(),VLOOKUP(W123,成長曲線_データ!$V$4:$AA$73,3,TRUE))</f>
        <v>#N/A</v>
      </c>
      <c r="AE123" s="82" t="e">
        <f>IF(W123&lt;=6.5,VLOOKUP(W123,頭囲データ!$C$10:$E$85,2,TRUE),NA())</f>
        <v>#N/A</v>
      </c>
      <c r="AF123" s="82" t="e">
        <f>IF(W123&lt;=6.5,VLOOKUP(W123,頭囲データ!$C$10:$E$85,3,TRUE),NA())</f>
        <v>#N/A</v>
      </c>
      <c r="AG123" s="89" t="str">
        <f>入力!F123&amp;"y"&amp;入力!G123&amp;"m"</f>
        <v>ym</v>
      </c>
      <c r="AH123" s="89" t="e">
        <f>IF(AND(入力!W123&gt;=1,入力!W123&lt;6,入力!B123&gt;=70,入力!B123&lt;=120),入力!B123,NA())</f>
        <v>#N/A</v>
      </c>
      <c r="AI123" s="89" t="e">
        <f>IF(AND(入力!W123&gt;=1,入力!W123&lt;6,入力!B123&gt;=70,入力!B123&lt;=120),入力!X123,NA())</f>
        <v>#N/A</v>
      </c>
      <c r="AJ123" s="89" t="e">
        <f>IF(AND(入力!W123&gt;=6,入力!B123&gt;=100,入力!B123&lt;=184),入力!B123,NA())</f>
        <v>#N/A</v>
      </c>
      <c r="AK123" s="89" t="e">
        <f>IF(AND(入力!W123&gt;=6,入力!B123&gt;=100,入力!B123&lt;=184),入力!X123,NA())</f>
        <v>#N/A</v>
      </c>
      <c r="AL123" s="82" t="e">
        <f t="shared" si="98"/>
        <v>#N/A</v>
      </c>
      <c r="AM123" s="82"/>
      <c r="AN123" s="80" t="e">
        <f t="shared" si="99"/>
        <v>#N/A</v>
      </c>
      <c r="AO123" s="80" t="e">
        <f t="shared" si="100"/>
        <v>#N/A</v>
      </c>
      <c r="AP123" s="81" t="e">
        <f t="shared" si="101"/>
        <v>#N/A</v>
      </c>
      <c r="AQ123" s="81" t="e">
        <f t="shared" si="102"/>
        <v>#VALUE!</v>
      </c>
      <c r="AR123" s="81" t="e">
        <f t="shared" si="103"/>
        <v>#N/A</v>
      </c>
      <c r="AS123" s="81" t="e">
        <f t="shared" si="104"/>
        <v>#N/A</v>
      </c>
      <c r="AT123" s="81" t="e">
        <f t="shared" si="105"/>
        <v>#N/A</v>
      </c>
      <c r="AU123" s="81" t="e">
        <f t="shared" si="106"/>
        <v>#N/A</v>
      </c>
      <c r="AV123" s="81" t="e">
        <f t="shared" si="107"/>
        <v>#N/A</v>
      </c>
      <c r="AW123" s="81" t="e">
        <f t="shared" si="108"/>
        <v>#N/A</v>
      </c>
      <c r="AX123" s="81" t="e">
        <f t="shared" si="109"/>
        <v>#N/A</v>
      </c>
      <c r="AY123" s="81" t="e">
        <f>VLOOKUP($W123,頭囲データ!$R$10:$W$11,3,TRUE)*$W123^3+VLOOKUP($W123,頭囲データ!$R$10:$W$11,4,TRUE)*$W123^2+VLOOKUP($W123,頭囲データ!$R$10:$W$11,5,TRUE)*$W123+VLOOKUP($W123,頭囲データ!$R$10:$W$11,6,TRUE)</f>
        <v>#N/A</v>
      </c>
      <c r="AZ123" s="81" t="e">
        <f>VLOOKUP($W123,頭囲データ!$R$12:$W$16,3,TRUE)*$W123^3+VLOOKUP($W123,頭囲データ!$R$12:$W$16,4,TRUE)*$W123^2+VLOOKUP($W123,頭囲データ!$R$12:$W$16,5,TRUE)*$W123+VLOOKUP($W123,頭囲データ!$R$12:$W$16,6,TRUE)</f>
        <v>#N/A</v>
      </c>
      <c r="BA123" s="81" t="e">
        <f>VLOOKUP($W123,頭囲データ!$R$17:$W$18,3,TRUE)*$W123^3+VLOOKUP($W123,頭囲データ!$R$17:$W$18,4,TRUE)*$W123^2+VLOOKUP($W123,頭囲データ!$R$17:$W$18,5,TRUE)*$W123+VLOOKUP($W123,頭囲データ!$R$17:$W$18,6,TRUE)</f>
        <v>#N/A</v>
      </c>
      <c r="BB123" s="81" t="e">
        <f t="shared" si="110"/>
        <v>#N/A</v>
      </c>
      <c r="BC123" s="81" t="e">
        <f>VLOOKUP($W123,胸囲データ!$R$10:$W$11,3,TRUE)*$W123^3+VLOOKUP($W123,胸囲データ!$R$10:$W$11,4,TRUE)*$W123^2+VLOOKUP($W123,胸囲データ!$R$10:$W$11,5,TRUE)*$W123+VLOOKUP($W123,胸囲データ!$R$10:$W$11,6,TRUE)</f>
        <v>#N/A</v>
      </c>
      <c r="BD123" s="81" t="e">
        <f>VLOOKUP($W123,胸囲データ!$R$12:$W$16,3,TRUE)*$W123^3+VLOOKUP($W123,胸囲データ!$R$12:$W$16,4,TRUE)*$W123^2+VLOOKUP($W123,胸囲データ!$R$12:$W$16,5,TRUE)*$W123+VLOOKUP($W123,胸囲データ!$R$12:$W$16,6,TRUE)</f>
        <v>#N/A</v>
      </c>
      <c r="BE123" s="81" t="e">
        <f>VLOOKUP($W123,胸囲データ!$R$17:$W$18,3,TRUE)*$W123^3+VLOOKUP($W123,胸囲データ!$R$17:$W$18,4,TRUE)*$W123^2+VLOOKUP($W123,胸囲データ!$R$17:$W$18,5,TRUE)*$W123+VLOOKUP($W123,胸囲データ!$R$17:$W$18,6,TRUE)</f>
        <v>#N/A</v>
      </c>
    </row>
    <row r="124" spans="1:57" x14ac:dyDescent="0.15">
      <c r="A124" s="35"/>
      <c r="B124" s="36"/>
      <c r="C124" s="36"/>
      <c r="D124" s="49"/>
      <c r="E124" s="76"/>
      <c r="F124" s="51" t="str">
        <f t="shared" si="86"/>
        <v/>
      </c>
      <c r="G124" s="37" t="str">
        <f t="shared" si="82"/>
        <v/>
      </c>
      <c r="H124" s="38" t="str">
        <f>IF(ISERROR(W124),"",VLOOKUP(W124,成長曲線_データ!$D$4:$AC$214,3,TRUE))</f>
        <v/>
      </c>
      <c r="I124" s="39" t="str">
        <f t="shared" si="88"/>
        <v/>
      </c>
      <c r="J124" s="39" t="str">
        <f t="shared" si="89"/>
        <v/>
      </c>
      <c r="K124" s="39" t="str">
        <f t="shared" si="90"/>
        <v/>
      </c>
      <c r="L124" s="39" t="str">
        <f t="shared" si="87"/>
        <v/>
      </c>
      <c r="M124" s="39" t="str">
        <f t="shared" si="83"/>
        <v/>
      </c>
      <c r="N124" s="39" t="str">
        <f t="shared" si="84"/>
        <v/>
      </c>
      <c r="O124" s="40" t="str">
        <f t="shared" si="91"/>
        <v/>
      </c>
      <c r="P124" s="40" t="str">
        <f t="shared" si="92"/>
        <v/>
      </c>
      <c r="Q124" s="39" t="str">
        <f t="shared" si="63"/>
        <v/>
      </c>
      <c r="R124" s="39" t="str">
        <f t="shared" si="93"/>
        <v/>
      </c>
      <c r="S124" s="39" t="str">
        <f t="shared" si="85"/>
        <v/>
      </c>
      <c r="T124" s="41" t="str">
        <f t="shared" si="94"/>
        <v/>
      </c>
      <c r="V124" s="90"/>
      <c r="W124" s="79" t="e">
        <f t="shared" si="95"/>
        <v>#N/A</v>
      </c>
      <c r="X124" s="79" t="e">
        <f t="shared" si="96"/>
        <v>#N/A</v>
      </c>
      <c r="Y124" s="80" t="e">
        <f>IF(W124="","",VLOOKUP(W124,成長曲線_データ!$D$4:$AC$214,4,TRUE))</f>
        <v>#N/A</v>
      </c>
      <c r="Z124" s="80" t="e">
        <f>IF(W124="","",VLOOKUP(W124,成長曲線_データ!$D$4:$AC$214,12,TRUE))</f>
        <v>#N/A</v>
      </c>
      <c r="AA124" s="81" t="e">
        <f>IF(W124="","",VLOOKUP(W124,成長曲線_データ!$D$4:$AC$214,13,TRUE))</f>
        <v>#N/A</v>
      </c>
      <c r="AB124" s="94" t="e">
        <f t="shared" si="97"/>
        <v>#N/A</v>
      </c>
      <c r="AC124" s="82" t="e">
        <f>IF(W124&lt;0.5,NA(),VLOOKUP((W124+1/8),成長曲線_データ!$V$4:$AA$73,2,TRUE))</f>
        <v>#N/A</v>
      </c>
      <c r="AD124" s="82" t="e">
        <f>IF(W124&lt;1,NA(),VLOOKUP(W124,成長曲線_データ!$V$4:$AA$73,3,TRUE))</f>
        <v>#N/A</v>
      </c>
      <c r="AE124" s="82" t="e">
        <f>IF(W124&lt;=6.5,VLOOKUP(W124,頭囲データ!$C$10:$E$85,2,TRUE),NA())</f>
        <v>#N/A</v>
      </c>
      <c r="AF124" s="82" t="e">
        <f>IF(W124&lt;=6.5,VLOOKUP(W124,頭囲データ!$C$10:$E$85,3,TRUE),NA())</f>
        <v>#N/A</v>
      </c>
      <c r="AG124" s="89" t="str">
        <f>入力!F124&amp;"y"&amp;入力!G124&amp;"m"</f>
        <v>ym</v>
      </c>
      <c r="AH124" s="89" t="e">
        <f>IF(AND(入力!W124&gt;=1,入力!W124&lt;6,入力!B124&gt;=70,入力!B124&lt;=120),入力!B124,NA())</f>
        <v>#N/A</v>
      </c>
      <c r="AI124" s="89" t="e">
        <f>IF(AND(入力!W124&gt;=1,入力!W124&lt;6,入力!B124&gt;=70,入力!B124&lt;=120),入力!X124,NA())</f>
        <v>#N/A</v>
      </c>
      <c r="AJ124" s="89" t="e">
        <f>IF(AND(入力!W124&gt;=6,入力!B124&gt;=100,入力!B124&lt;=184),入力!B124,NA())</f>
        <v>#N/A</v>
      </c>
      <c r="AK124" s="89" t="e">
        <f>IF(AND(入力!W124&gt;=6,入力!B124&gt;=100,入力!B124&lt;=184),入力!X124,NA())</f>
        <v>#N/A</v>
      </c>
      <c r="AL124" s="82" t="e">
        <f t="shared" si="98"/>
        <v>#N/A</v>
      </c>
      <c r="AM124" s="82"/>
      <c r="AN124" s="80" t="e">
        <f t="shared" si="99"/>
        <v>#N/A</v>
      </c>
      <c r="AO124" s="80" t="e">
        <f t="shared" si="100"/>
        <v>#N/A</v>
      </c>
      <c r="AP124" s="81" t="e">
        <f t="shared" si="101"/>
        <v>#N/A</v>
      </c>
      <c r="AQ124" s="81" t="e">
        <f t="shared" si="102"/>
        <v>#VALUE!</v>
      </c>
      <c r="AR124" s="81" t="e">
        <f t="shared" si="103"/>
        <v>#N/A</v>
      </c>
      <c r="AS124" s="81" t="e">
        <f t="shared" si="104"/>
        <v>#N/A</v>
      </c>
      <c r="AT124" s="81" t="e">
        <f t="shared" si="105"/>
        <v>#N/A</v>
      </c>
      <c r="AU124" s="81" t="e">
        <f t="shared" si="106"/>
        <v>#N/A</v>
      </c>
      <c r="AV124" s="81" t="e">
        <f t="shared" si="107"/>
        <v>#N/A</v>
      </c>
      <c r="AW124" s="81" t="e">
        <f t="shared" si="108"/>
        <v>#N/A</v>
      </c>
      <c r="AX124" s="81" t="e">
        <f t="shared" si="109"/>
        <v>#N/A</v>
      </c>
      <c r="AY124" s="81" t="e">
        <f>VLOOKUP($W124,頭囲データ!$R$10:$W$11,3,TRUE)*$W124^3+VLOOKUP($W124,頭囲データ!$R$10:$W$11,4,TRUE)*$W124^2+VLOOKUP($W124,頭囲データ!$R$10:$W$11,5,TRUE)*$W124+VLOOKUP($W124,頭囲データ!$R$10:$W$11,6,TRUE)</f>
        <v>#N/A</v>
      </c>
      <c r="AZ124" s="81" t="e">
        <f>VLOOKUP($W124,頭囲データ!$R$12:$W$16,3,TRUE)*$W124^3+VLOOKUP($W124,頭囲データ!$R$12:$W$16,4,TRUE)*$W124^2+VLOOKUP($W124,頭囲データ!$R$12:$W$16,5,TRUE)*$W124+VLOOKUP($W124,頭囲データ!$R$12:$W$16,6,TRUE)</f>
        <v>#N/A</v>
      </c>
      <c r="BA124" s="81" t="e">
        <f>VLOOKUP($W124,頭囲データ!$R$17:$W$18,3,TRUE)*$W124^3+VLOOKUP($W124,頭囲データ!$R$17:$W$18,4,TRUE)*$W124^2+VLOOKUP($W124,頭囲データ!$R$17:$W$18,5,TRUE)*$W124+VLOOKUP($W124,頭囲データ!$R$17:$W$18,6,TRUE)</f>
        <v>#N/A</v>
      </c>
      <c r="BB124" s="81" t="e">
        <f t="shared" si="110"/>
        <v>#N/A</v>
      </c>
      <c r="BC124" s="81" t="e">
        <f>VLOOKUP($W124,胸囲データ!$R$10:$W$11,3,TRUE)*$W124^3+VLOOKUP($W124,胸囲データ!$R$10:$W$11,4,TRUE)*$W124^2+VLOOKUP($W124,胸囲データ!$R$10:$W$11,5,TRUE)*$W124+VLOOKUP($W124,胸囲データ!$R$10:$W$11,6,TRUE)</f>
        <v>#N/A</v>
      </c>
      <c r="BD124" s="81" t="e">
        <f>VLOOKUP($W124,胸囲データ!$R$12:$W$16,3,TRUE)*$W124^3+VLOOKUP($W124,胸囲データ!$R$12:$W$16,4,TRUE)*$W124^2+VLOOKUP($W124,胸囲データ!$R$12:$W$16,5,TRUE)*$W124+VLOOKUP($W124,胸囲データ!$R$12:$W$16,6,TRUE)</f>
        <v>#N/A</v>
      </c>
      <c r="BE124" s="81" t="e">
        <f>VLOOKUP($W124,胸囲データ!$R$17:$W$18,3,TRUE)*$W124^3+VLOOKUP($W124,胸囲データ!$R$17:$W$18,4,TRUE)*$W124^2+VLOOKUP($W124,胸囲データ!$R$17:$W$18,5,TRUE)*$W124+VLOOKUP($W124,胸囲データ!$R$17:$W$18,6,TRUE)</f>
        <v>#N/A</v>
      </c>
    </row>
    <row r="125" spans="1:57" x14ac:dyDescent="0.15">
      <c r="A125" s="35"/>
      <c r="B125" s="36"/>
      <c r="C125" s="36"/>
      <c r="D125" s="49"/>
      <c r="E125" s="76"/>
      <c r="F125" s="51" t="str">
        <f t="shared" si="86"/>
        <v/>
      </c>
      <c r="G125" s="37" t="str">
        <f t="shared" si="82"/>
        <v/>
      </c>
      <c r="H125" s="38" t="str">
        <f>IF(ISERROR(W125),"",VLOOKUP(W125,成長曲線_データ!$D$4:$AC$214,3,TRUE))</f>
        <v/>
      </c>
      <c r="I125" s="39" t="str">
        <f t="shared" si="88"/>
        <v/>
      </c>
      <c r="J125" s="39" t="str">
        <f t="shared" si="89"/>
        <v/>
      </c>
      <c r="K125" s="39" t="str">
        <f t="shared" si="90"/>
        <v/>
      </c>
      <c r="L125" s="39" t="str">
        <f t="shared" si="87"/>
        <v/>
      </c>
      <c r="M125" s="39" t="str">
        <f t="shared" si="83"/>
        <v/>
      </c>
      <c r="N125" s="39" t="str">
        <f t="shared" si="84"/>
        <v/>
      </c>
      <c r="O125" s="40" t="str">
        <f t="shared" si="91"/>
        <v/>
      </c>
      <c r="P125" s="40" t="str">
        <f t="shared" si="92"/>
        <v/>
      </c>
      <c r="Q125" s="39" t="str">
        <f t="shared" si="63"/>
        <v/>
      </c>
      <c r="R125" s="39" t="str">
        <f t="shared" si="93"/>
        <v/>
      </c>
      <c r="S125" s="39" t="str">
        <f t="shared" si="85"/>
        <v/>
      </c>
      <c r="T125" s="41" t="str">
        <f t="shared" si="94"/>
        <v/>
      </c>
      <c r="V125" s="90"/>
      <c r="W125" s="79" t="e">
        <f t="shared" si="95"/>
        <v>#N/A</v>
      </c>
      <c r="X125" s="79" t="e">
        <f t="shared" si="96"/>
        <v>#N/A</v>
      </c>
      <c r="Y125" s="80" t="e">
        <f>IF(W125="","",VLOOKUP(W125,成長曲線_データ!$D$4:$AC$214,4,TRUE))</f>
        <v>#N/A</v>
      </c>
      <c r="Z125" s="80" t="e">
        <f>IF(W125="","",VLOOKUP(W125,成長曲線_データ!$D$4:$AC$214,12,TRUE))</f>
        <v>#N/A</v>
      </c>
      <c r="AA125" s="81" t="e">
        <f>IF(W125="","",VLOOKUP(W125,成長曲線_データ!$D$4:$AC$214,13,TRUE))</f>
        <v>#N/A</v>
      </c>
      <c r="AB125" s="94" t="e">
        <f t="shared" si="97"/>
        <v>#N/A</v>
      </c>
      <c r="AC125" s="82" t="e">
        <f>IF(W125&lt;0.5,NA(),VLOOKUP((W125+1/8),成長曲線_データ!$V$4:$AA$73,2,TRUE))</f>
        <v>#N/A</v>
      </c>
      <c r="AD125" s="82" t="e">
        <f>IF(W125&lt;1,NA(),VLOOKUP(W125,成長曲線_データ!$V$4:$AA$73,3,TRUE))</f>
        <v>#N/A</v>
      </c>
      <c r="AE125" s="82" t="e">
        <f>IF(W125&lt;=6.5,VLOOKUP(W125,頭囲データ!$C$10:$E$85,2,TRUE),NA())</f>
        <v>#N/A</v>
      </c>
      <c r="AF125" s="82" t="e">
        <f>IF(W125&lt;=6.5,VLOOKUP(W125,頭囲データ!$C$10:$E$85,3,TRUE),NA())</f>
        <v>#N/A</v>
      </c>
      <c r="AG125" s="89" t="str">
        <f>入力!F125&amp;"y"&amp;入力!G125&amp;"m"</f>
        <v>ym</v>
      </c>
      <c r="AH125" s="89" t="e">
        <f>IF(AND(入力!W125&gt;=1,入力!W125&lt;6,入力!B125&gt;=70,入力!B125&lt;=120),入力!B125,NA())</f>
        <v>#N/A</v>
      </c>
      <c r="AI125" s="89" t="e">
        <f>IF(AND(入力!W125&gt;=1,入力!W125&lt;6,入力!B125&gt;=70,入力!B125&lt;=120),入力!X125,NA())</f>
        <v>#N/A</v>
      </c>
      <c r="AJ125" s="89" t="e">
        <f>IF(AND(入力!W125&gt;=6,入力!B125&gt;=100,入力!B125&lt;=184),入力!B125,NA())</f>
        <v>#N/A</v>
      </c>
      <c r="AK125" s="89" t="e">
        <f>IF(AND(入力!W125&gt;=6,入力!B125&gt;=100,入力!B125&lt;=184),入力!X125,NA())</f>
        <v>#N/A</v>
      </c>
      <c r="AL125" s="82" t="e">
        <f t="shared" si="98"/>
        <v>#N/A</v>
      </c>
      <c r="AM125" s="82"/>
      <c r="AN125" s="80" t="e">
        <f t="shared" si="99"/>
        <v>#N/A</v>
      </c>
      <c r="AO125" s="80" t="e">
        <f t="shared" si="100"/>
        <v>#N/A</v>
      </c>
      <c r="AP125" s="81" t="e">
        <f t="shared" si="101"/>
        <v>#N/A</v>
      </c>
      <c r="AQ125" s="81" t="e">
        <f t="shared" si="102"/>
        <v>#VALUE!</v>
      </c>
      <c r="AR125" s="81" t="e">
        <f t="shared" si="103"/>
        <v>#N/A</v>
      </c>
      <c r="AS125" s="81" t="e">
        <f t="shared" si="104"/>
        <v>#N/A</v>
      </c>
      <c r="AT125" s="81" t="e">
        <f t="shared" si="105"/>
        <v>#N/A</v>
      </c>
      <c r="AU125" s="81" t="e">
        <f t="shared" si="106"/>
        <v>#N/A</v>
      </c>
      <c r="AV125" s="81" t="e">
        <f t="shared" si="107"/>
        <v>#N/A</v>
      </c>
      <c r="AW125" s="81" t="e">
        <f t="shared" si="108"/>
        <v>#N/A</v>
      </c>
      <c r="AX125" s="81" t="e">
        <f t="shared" si="109"/>
        <v>#N/A</v>
      </c>
      <c r="AY125" s="81" t="e">
        <f>VLOOKUP($W125,頭囲データ!$R$10:$W$11,3,TRUE)*$W125^3+VLOOKUP($W125,頭囲データ!$R$10:$W$11,4,TRUE)*$W125^2+VLOOKUP($W125,頭囲データ!$R$10:$W$11,5,TRUE)*$W125+VLOOKUP($W125,頭囲データ!$R$10:$W$11,6,TRUE)</f>
        <v>#N/A</v>
      </c>
      <c r="AZ125" s="81" t="e">
        <f>VLOOKUP($W125,頭囲データ!$R$12:$W$16,3,TRUE)*$W125^3+VLOOKUP($W125,頭囲データ!$R$12:$W$16,4,TRUE)*$W125^2+VLOOKUP($W125,頭囲データ!$R$12:$W$16,5,TRUE)*$W125+VLOOKUP($W125,頭囲データ!$R$12:$W$16,6,TRUE)</f>
        <v>#N/A</v>
      </c>
      <c r="BA125" s="81" t="e">
        <f>VLOOKUP($W125,頭囲データ!$R$17:$W$18,3,TRUE)*$W125^3+VLOOKUP($W125,頭囲データ!$R$17:$W$18,4,TRUE)*$W125^2+VLOOKUP($W125,頭囲データ!$R$17:$W$18,5,TRUE)*$W125+VLOOKUP($W125,頭囲データ!$R$17:$W$18,6,TRUE)</f>
        <v>#N/A</v>
      </c>
      <c r="BB125" s="81" t="e">
        <f t="shared" si="110"/>
        <v>#N/A</v>
      </c>
      <c r="BC125" s="81" t="e">
        <f>VLOOKUP($W125,胸囲データ!$R$10:$W$11,3,TRUE)*$W125^3+VLOOKUP($W125,胸囲データ!$R$10:$W$11,4,TRUE)*$W125^2+VLOOKUP($W125,胸囲データ!$R$10:$W$11,5,TRUE)*$W125+VLOOKUP($W125,胸囲データ!$R$10:$W$11,6,TRUE)</f>
        <v>#N/A</v>
      </c>
      <c r="BD125" s="81" t="e">
        <f>VLOOKUP($W125,胸囲データ!$R$12:$W$16,3,TRUE)*$W125^3+VLOOKUP($W125,胸囲データ!$R$12:$W$16,4,TRUE)*$W125^2+VLOOKUP($W125,胸囲データ!$R$12:$W$16,5,TRUE)*$W125+VLOOKUP($W125,胸囲データ!$R$12:$W$16,6,TRUE)</f>
        <v>#N/A</v>
      </c>
      <c r="BE125" s="81" t="e">
        <f>VLOOKUP($W125,胸囲データ!$R$17:$W$18,3,TRUE)*$W125^3+VLOOKUP($W125,胸囲データ!$R$17:$W$18,4,TRUE)*$W125^2+VLOOKUP($W125,胸囲データ!$R$17:$W$18,5,TRUE)*$W125+VLOOKUP($W125,胸囲データ!$R$17:$W$18,6,TRUE)</f>
        <v>#N/A</v>
      </c>
    </row>
    <row r="126" spans="1:57" x14ac:dyDescent="0.15">
      <c r="A126" s="35"/>
      <c r="B126" s="36"/>
      <c r="C126" s="36"/>
      <c r="D126" s="49"/>
      <c r="E126" s="76"/>
      <c r="F126" s="51" t="str">
        <f t="shared" si="86"/>
        <v/>
      </c>
      <c r="G126" s="37" t="str">
        <f t="shared" si="82"/>
        <v/>
      </c>
      <c r="H126" s="38" t="str">
        <f>IF(ISERROR(W126),"",VLOOKUP(W126,成長曲線_データ!$D$4:$AC$214,3,TRUE))</f>
        <v/>
      </c>
      <c r="I126" s="39" t="str">
        <f t="shared" si="88"/>
        <v/>
      </c>
      <c r="J126" s="39" t="str">
        <f t="shared" si="89"/>
        <v/>
      </c>
      <c r="K126" s="39" t="str">
        <f t="shared" si="90"/>
        <v/>
      </c>
      <c r="L126" s="39" t="str">
        <f t="shared" si="87"/>
        <v/>
      </c>
      <c r="M126" s="39" t="str">
        <f t="shared" si="83"/>
        <v/>
      </c>
      <c r="N126" s="39" t="str">
        <f t="shared" si="84"/>
        <v/>
      </c>
      <c r="O126" s="40" t="str">
        <f t="shared" si="91"/>
        <v/>
      </c>
      <c r="P126" s="40" t="str">
        <f t="shared" si="92"/>
        <v/>
      </c>
      <c r="Q126" s="39" t="str">
        <f t="shared" si="63"/>
        <v/>
      </c>
      <c r="R126" s="39" t="str">
        <f t="shared" si="93"/>
        <v/>
      </c>
      <c r="S126" s="39" t="str">
        <f t="shared" si="85"/>
        <v/>
      </c>
      <c r="T126" s="41" t="str">
        <f t="shared" si="94"/>
        <v/>
      </c>
      <c r="V126" s="90"/>
      <c r="W126" s="79" t="e">
        <f t="shared" si="95"/>
        <v>#N/A</v>
      </c>
      <c r="X126" s="79" t="e">
        <f t="shared" si="96"/>
        <v>#N/A</v>
      </c>
      <c r="Y126" s="80" t="e">
        <f>IF(W126="","",VLOOKUP(W126,成長曲線_データ!$D$4:$AC$214,4,TRUE))</f>
        <v>#N/A</v>
      </c>
      <c r="Z126" s="80" t="e">
        <f>IF(W126="","",VLOOKUP(W126,成長曲線_データ!$D$4:$AC$214,12,TRUE))</f>
        <v>#N/A</v>
      </c>
      <c r="AA126" s="81" t="e">
        <f>IF(W126="","",VLOOKUP(W126,成長曲線_データ!$D$4:$AC$214,13,TRUE))</f>
        <v>#N/A</v>
      </c>
      <c r="AB126" s="94" t="e">
        <f t="shared" si="97"/>
        <v>#N/A</v>
      </c>
      <c r="AC126" s="82" t="e">
        <f>IF(W126&lt;0.5,NA(),VLOOKUP((W126+1/8),成長曲線_データ!$V$4:$AA$73,2,TRUE))</f>
        <v>#N/A</v>
      </c>
      <c r="AD126" s="82" t="e">
        <f>IF(W126&lt;1,NA(),VLOOKUP(W126,成長曲線_データ!$V$4:$AA$73,3,TRUE))</f>
        <v>#N/A</v>
      </c>
      <c r="AE126" s="82" t="e">
        <f>IF(W126&lt;=6.5,VLOOKUP(W126,頭囲データ!$C$10:$E$85,2,TRUE),NA())</f>
        <v>#N/A</v>
      </c>
      <c r="AF126" s="82" t="e">
        <f>IF(W126&lt;=6.5,VLOOKUP(W126,頭囲データ!$C$10:$E$85,3,TRUE),NA())</f>
        <v>#N/A</v>
      </c>
      <c r="AG126" s="89" t="str">
        <f>入力!F126&amp;"y"&amp;入力!G126&amp;"m"</f>
        <v>ym</v>
      </c>
      <c r="AH126" s="89" t="e">
        <f>IF(AND(入力!W126&gt;=1,入力!W126&lt;6,入力!B126&gt;=70,入力!B126&lt;=120),入力!B126,NA())</f>
        <v>#N/A</v>
      </c>
      <c r="AI126" s="89" t="e">
        <f>IF(AND(入力!W126&gt;=1,入力!W126&lt;6,入力!B126&gt;=70,入力!B126&lt;=120),入力!X126,NA())</f>
        <v>#N/A</v>
      </c>
      <c r="AJ126" s="89" t="e">
        <f>IF(AND(入力!W126&gt;=6,入力!B126&gt;=100,入力!B126&lt;=184),入力!B126,NA())</f>
        <v>#N/A</v>
      </c>
      <c r="AK126" s="89" t="e">
        <f>IF(AND(入力!W126&gt;=6,入力!B126&gt;=100,入力!B126&lt;=184),入力!X126,NA())</f>
        <v>#N/A</v>
      </c>
      <c r="AL126" s="82" t="e">
        <f t="shared" si="98"/>
        <v>#N/A</v>
      </c>
      <c r="AM126" s="82"/>
      <c r="AN126" s="80" t="e">
        <f t="shared" si="99"/>
        <v>#N/A</v>
      </c>
      <c r="AO126" s="80" t="e">
        <f t="shared" si="100"/>
        <v>#N/A</v>
      </c>
      <c r="AP126" s="81" t="e">
        <f t="shared" si="101"/>
        <v>#N/A</v>
      </c>
      <c r="AQ126" s="81" t="e">
        <f t="shared" si="102"/>
        <v>#VALUE!</v>
      </c>
      <c r="AR126" s="81" t="e">
        <f t="shared" si="103"/>
        <v>#N/A</v>
      </c>
      <c r="AS126" s="81" t="e">
        <f t="shared" si="104"/>
        <v>#N/A</v>
      </c>
      <c r="AT126" s="81" t="e">
        <f t="shared" si="105"/>
        <v>#N/A</v>
      </c>
      <c r="AU126" s="81" t="e">
        <f t="shared" si="106"/>
        <v>#N/A</v>
      </c>
      <c r="AV126" s="81" t="e">
        <f t="shared" si="107"/>
        <v>#N/A</v>
      </c>
      <c r="AW126" s="81" t="e">
        <f t="shared" si="108"/>
        <v>#N/A</v>
      </c>
      <c r="AX126" s="81" t="e">
        <f t="shared" si="109"/>
        <v>#N/A</v>
      </c>
      <c r="AY126" s="81" t="e">
        <f>VLOOKUP($W126,頭囲データ!$R$10:$W$11,3,TRUE)*$W126^3+VLOOKUP($W126,頭囲データ!$R$10:$W$11,4,TRUE)*$W126^2+VLOOKUP($W126,頭囲データ!$R$10:$W$11,5,TRUE)*$W126+VLOOKUP($W126,頭囲データ!$R$10:$W$11,6,TRUE)</f>
        <v>#N/A</v>
      </c>
      <c r="AZ126" s="81" t="e">
        <f>VLOOKUP($W126,頭囲データ!$R$12:$W$16,3,TRUE)*$W126^3+VLOOKUP($W126,頭囲データ!$R$12:$W$16,4,TRUE)*$W126^2+VLOOKUP($W126,頭囲データ!$R$12:$W$16,5,TRUE)*$W126+VLOOKUP($W126,頭囲データ!$R$12:$W$16,6,TRUE)</f>
        <v>#N/A</v>
      </c>
      <c r="BA126" s="81" t="e">
        <f>VLOOKUP($W126,頭囲データ!$R$17:$W$18,3,TRUE)*$W126^3+VLOOKUP($W126,頭囲データ!$R$17:$W$18,4,TRUE)*$W126^2+VLOOKUP($W126,頭囲データ!$R$17:$W$18,5,TRUE)*$W126+VLOOKUP($W126,頭囲データ!$R$17:$W$18,6,TRUE)</f>
        <v>#N/A</v>
      </c>
      <c r="BB126" s="81" t="e">
        <f t="shared" si="110"/>
        <v>#N/A</v>
      </c>
      <c r="BC126" s="81" t="e">
        <f>VLOOKUP($W126,胸囲データ!$R$10:$W$11,3,TRUE)*$W126^3+VLOOKUP($W126,胸囲データ!$R$10:$W$11,4,TRUE)*$W126^2+VLOOKUP($W126,胸囲データ!$R$10:$W$11,5,TRUE)*$W126+VLOOKUP($W126,胸囲データ!$R$10:$W$11,6,TRUE)</f>
        <v>#N/A</v>
      </c>
      <c r="BD126" s="81" t="e">
        <f>VLOOKUP($W126,胸囲データ!$R$12:$W$16,3,TRUE)*$W126^3+VLOOKUP($W126,胸囲データ!$R$12:$W$16,4,TRUE)*$W126^2+VLOOKUP($W126,胸囲データ!$R$12:$W$16,5,TRUE)*$W126+VLOOKUP($W126,胸囲データ!$R$12:$W$16,6,TRUE)</f>
        <v>#N/A</v>
      </c>
      <c r="BE126" s="81" t="e">
        <f>VLOOKUP($W126,胸囲データ!$R$17:$W$18,3,TRUE)*$W126^3+VLOOKUP($W126,胸囲データ!$R$17:$W$18,4,TRUE)*$W126^2+VLOOKUP($W126,胸囲データ!$R$17:$W$18,5,TRUE)*$W126+VLOOKUP($W126,胸囲データ!$R$17:$W$18,6,TRUE)</f>
        <v>#N/A</v>
      </c>
    </row>
    <row r="127" spans="1:57" x14ac:dyDescent="0.15">
      <c r="A127" s="35"/>
      <c r="B127" s="36"/>
      <c r="C127" s="36"/>
      <c r="D127" s="49"/>
      <c r="E127" s="76"/>
      <c r="F127" s="51" t="str">
        <f t="shared" si="86"/>
        <v/>
      </c>
      <c r="G127" s="37" t="str">
        <f t="shared" si="82"/>
        <v/>
      </c>
      <c r="H127" s="38" t="str">
        <f>IF(ISERROR(W127),"",VLOOKUP(W127,成長曲線_データ!$D$4:$AC$214,3,TRUE))</f>
        <v/>
      </c>
      <c r="I127" s="39" t="str">
        <f t="shared" si="88"/>
        <v/>
      </c>
      <c r="J127" s="39" t="str">
        <f t="shared" si="89"/>
        <v/>
      </c>
      <c r="K127" s="39" t="str">
        <f t="shared" si="90"/>
        <v/>
      </c>
      <c r="L127" s="39" t="str">
        <f t="shared" si="87"/>
        <v/>
      </c>
      <c r="M127" s="39" t="str">
        <f t="shared" si="83"/>
        <v/>
      </c>
      <c r="N127" s="39" t="str">
        <f t="shared" si="84"/>
        <v/>
      </c>
      <c r="O127" s="40" t="str">
        <f t="shared" si="91"/>
        <v/>
      </c>
      <c r="P127" s="40" t="str">
        <f t="shared" si="92"/>
        <v/>
      </c>
      <c r="Q127" s="39" t="str">
        <f t="shared" si="63"/>
        <v/>
      </c>
      <c r="R127" s="39" t="str">
        <f t="shared" si="93"/>
        <v/>
      </c>
      <c r="S127" s="39" t="str">
        <f t="shared" si="85"/>
        <v/>
      </c>
      <c r="T127" s="41" t="str">
        <f t="shared" si="94"/>
        <v/>
      </c>
      <c r="V127" s="90"/>
      <c r="W127" s="79" t="e">
        <f t="shared" si="95"/>
        <v>#N/A</v>
      </c>
      <c r="X127" s="79" t="e">
        <f t="shared" si="96"/>
        <v>#N/A</v>
      </c>
      <c r="Y127" s="80" t="e">
        <f>IF(W127="","",VLOOKUP(W127,成長曲線_データ!$D$4:$AC$214,4,TRUE))</f>
        <v>#N/A</v>
      </c>
      <c r="Z127" s="80" t="e">
        <f>IF(W127="","",VLOOKUP(W127,成長曲線_データ!$D$4:$AC$214,12,TRUE))</f>
        <v>#N/A</v>
      </c>
      <c r="AA127" s="81" t="e">
        <f>IF(W127="","",VLOOKUP(W127,成長曲線_データ!$D$4:$AC$214,13,TRUE))</f>
        <v>#N/A</v>
      </c>
      <c r="AB127" s="94" t="e">
        <f t="shared" si="97"/>
        <v>#N/A</v>
      </c>
      <c r="AC127" s="82" t="e">
        <f>IF(W127&lt;0.5,NA(),VLOOKUP((W127+1/8),成長曲線_データ!$V$4:$AA$73,2,TRUE))</f>
        <v>#N/A</v>
      </c>
      <c r="AD127" s="82" t="e">
        <f>IF(W127&lt;1,NA(),VLOOKUP(W127,成長曲線_データ!$V$4:$AA$73,3,TRUE))</f>
        <v>#N/A</v>
      </c>
      <c r="AE127" s="82" t="e">
        <f>IF(W127&lt;=6.5,VLOOKUP(W127,頭囲データ!$C$10:$E$85,2,TRUE),NA())</f>
        <v>#N/A</v>
      </c>
      <c r="AF127" s="82" t="e">
        <f>IF(W127&lt;=6.5,VLOOKUP(W127,頭囲データ!$C$10:$E$85,3,TRUE),NA())</f>
        <v>#N/A</v>
      </c>
      <c r="AG127" s="89" t="str">
        <f>入力!F127&amp;"y"&amp;入力!G127&amp;"m"</f>
        <v>ym</v>
      </c>
      <c r="AH127" s="89" t="e">
        <f>IF(AND(入力!W127&gt;=1,入力!W127&lt;6,入力!B127&gt;=70,入力!B127&lt;=120),入力!B127,NA())</f>
        <v>#N/A</v>
      </c>
      <c r="AI127" s="89" t="e">
        <f>IF(AND(入力!W127&gt;=1,入力!W127&lt;6,入力!B127&gt;=70,入力!B127&lt;=120),入力!X127,NA())</f>
        <v>#N/A</v>
      </c>
      <c r="AJ127" s="89" t="e">
        <f>IF(AND(入力!W127&gt;=6,入力!B127&gt;=100,入力!B127&lt;=184),入力!B127,NA())</f>
        <v>#N/A</v>
      </c>
      <c r="AK127" s="89" t="e">
        <f>IF(AND(入力!W127&gt;=6,入力!B127&gt;=100,入力!B127&lt;=184),入力!X127,NA())</f>
        <v>#N/A</v>
      </c>
      <c r="AL127" s="82" t="e">
        <f t="shared" si="98"/>
        <v>#N/A</v>
      </c>
      <c r="AM127" s="82"/>
      <c r="AN127" s="80" t="e">
        <f t="shared" si="99"/>
        <v>#N/A</v>
      </c>
      <c r="AO127" s="80" t="e">
        <f t="shared" si="100"/>
        <v>#N/A</v>
      </c>
      <c r="AP127" s="81" t="e">
        <f t="shared" si="101"/>
        <v>#N/A</v>
      </c>
      <c r="AQ127" s="81" t="e">
        <f t="shared" si="102"/>
        <v>#VALUE!</v>
      </c>
      <c r="AR127" s="81" t="e">
        <f t="shared" si="103"/>
        <v>#N/A</v>
      </c>
      <c r="AS127" s="81" t="e">
        <f t="shared" si="104"/>
        <v>#N/A</v>
      </c>
      <c r="AT127" s="81" t="e">
        <f t="shared" si="105"/>
        <v>#N/A</v>
      </c>
      <c r="AU127" s="81" t="e">
        <f t="shared" si="106"/>
        <v>#N/A</v>
      </c>
      <c r="AV127" s="81" t="e">
        <f t="shared" si="107"/>
        <v>#N/A</v>
      </c>
      <c r="AW127" s="81" t="e">
        <f t="shared" si="108"/>
        <v>#N/A</v>
      </c>
      <c r="AX127" s="81" t="e">
        <f t="shared" si="109"/>
        <v>#N/A</v>
      </c>
      <c r="AY127" s="81" t="e">
        <f>VLOOKUP($W127,頭囲データ!$R$10:$W$11,3,TRUE)*$W127^3+VLOOKUP($W127,頭囲データ!$R$10:$W$11,4,TRUE)*$W127^2+VLOOKUP($W127,頭囲データ!$R$10:$W$11,5,TRUE)*$W127+VLOOKUP($W127,頭囲データ!$R$10:$W$11,6,TRUE)</f>
        <v>#N/A</v>
      </c>
      <c r="AZ127" s="81" t="e">
        <f>VLOOKUP($W127,頭囲データ!$R$12:$W$16,3,TRUE)*$W127^3+VLOOKUP($W127,頭囲データ!$R$12:$W$16,4,TRUE)*$W127^2+VLOOKUP($W127,頭囲データ!$R$12:$W$16,5,TRUE)*$W127+VLOOKUP($W127,頭囲データ!$R$12:$W$16,6,TRUE)</f>
        <v>#N/A</v>
      </c>
      <c r="BA127" s="81" t="e">
        <f>VLOOKUP($W127,頭囲データ!$R$17:$W$18,3,TRUE)*$W127^3+VLOOKUP($W127,頭囲データ!$R$17:$W$18,4,TRUE)*$W127^2+VLOOKUP($W127,頭囲データ!$R$17:$W$18,5,TRUE)*$W127+VLOOKUP($W127,頭囲データ!$R$17:$W$18,6,TRUE)</f>
        <v>#N/A</v>
      </c>
      <c r="BB127" s="81" t="e">
        <f t="shared" si="110"/>
        <v>#N/A</v>
      </c>
      <c r="BC127" s="81" t="e">
        <f>VLOOKUP($W127,胸囲データ!$R$10:$W$11,3,TRUE)*$W127^3+VLOOKUP($W127,胸囲データ!$R$10:$W$11,4,TRUE)*$W127^2+VLOOKUP($W127,胸囲データ!$R$10:$W$11,5,TRUE)*$W127+VLOOKUP($W127,胸囲データ!$R$10:$W$11,6,TRUE)</f>
        <v>#N/A</v>
      </c>
      <c r="BD127" s="81" t="e">
        <f>VLOOKUP($W127,胸囲データ!$R$12:$W$16,3,TRUE)*$W127^3+VLOOKUP($W127,胸囲データ!$R$12:$W$16,4,TRUE)*$W127^2+VLOOKUP($W127,胸囲データ!$R$12:$W$16,5,TRUE)*$W127+VLOOKUP($W127,胸囲データ!$R$12:$W$16,6,TRUE)</f>
        <v>#N/A</v>
      </c>
      <c r="BE127" s="81" t="e">
        <f>VLOOKUP($W127,胸囲データ!$R$17:$W$18,3,TRUE)*$W127^3+VLOOKUP($W127,胸囲データ!$R$17:$W$18,4,TRUE)*$W127^2+VLOOKUP($W127,胸囲データ!$R$17:$W$18,5,TRUE)*$W127+VLOOKUP($W127,胸囲データ!$R$17:$W$18,6,TRUE)</f>
        <v>#N/A</v>
      </c>
    </row>
    <row r="128" spans="1:57" x14ac:dyDescent="0.15">
      <c r="A128" s="35"/>
      <c r="B128" s="36"/>
      <c r="C128" s="36"/>
      <c r="D128" s="49"/>
      <c r="E128" s="76"/>
      <c r="F128" s="51" t="str">
        <f t="shared" si="86"/>
        <v/>
      </c>
      <c r="G128" s="37" t="str">
        <f t="shared" si="82"/>
        <v/>
      </c>
      <c r="H128" s="38" t="str">
        <f>IF(ISERROR(W128),"",VLOOKUP(W128,成長曲線_データ!$D$4:$AC$214,3,TRUE))</f>
        <v/>
      </c>
      <c r="I128" s="39" t="str">
        <f t="shared" si="88"/>
        <v/>
      </c>
      <c r="J128" s="39" t="str">
        <f t="shared" si="89"/>
        <v/>
      </c>
      <c r="K128" s="39" t="str">
        <f t="shared" si="90"/>
        <v/>
      </c>
      <c r="L128" s="39" t="str">
        <f t="shared" si="87"/>
        <v/>
      </c>
      <c r="M128" s="39" t="str">
        <f t="shared" si="83"/>
        <v/>
      </c>
      <c r="N128" s="39" t="str">
        <f t="shared" si="84"/>
        <v/>
      </c>
      <c r="O128" s="40" t="str">
        <f t="shared" si="91"/>
        <v/>
      </c>
      <c r="P128" s="40" t="str">
        <f t="shared" si="92"/>
        <v/>
      </c>
      <c r="Q128" s="39" t="str">
        <f t="shared" si="63"/>
        <v/>
      </c>
      <c r="R128" s="39" t="str">
        <f t="shared" si="93"/>
        <v/>
      </c>
      <c r="S128" s="39" t="str">
        <f t="shared" si="85"/>
        <v/>
      </c>
      <c r="T128" s="41" t="str">
        <f t="shared" si="94"/>
        <v/>
      </c>
      <c r="V128" s="90"/>
      <c r="W128" s="79" t="e">
        <f t="shared" si="95"/>
        <v>#N/A</v>
      </c>
      <c r="X128" s="79" t="e">
        <f t="shared" si="96"/>
        <v>#N/A</v>
      </c>
      <c r="Y128" s="80" t="e">
        <f>IF(W128="","",VLOOKUP(W128,成長曲線_データ!$D$4:$AC$214,4,TRUE))</f>
        <v>#N/A</v>
      </c>
      <c r="Z128" s="80" t="e">
        <f>IF(W128="","",VLOOKUP(W128,成長曲線_データ!$D$4:$AC$214,12,TRUE))</f>
        <v>#N/A</v>
      </c>
      <c r="AA128" s="81" t="e">
        <f>IF(W128="","",VLOOKUP(W128,成長曲線_データ!$D$4:$AC$214,13,TRUE))</f>
        <v>#N/A</v>
      </c>
      <c r="AB128" s="94" t="e">
        <f t="shared" si="97"/>
        <v>#N/A</v>
      </c>
      <c r="AC128" s="82" t="e">
        <f>IF(W128&lt;0.5,NA(),VLOOKUP((W128+1/8),成長曲線_データ!$V$4:$AA$73,2,TRUE))</f>
        <v>#N/A</v>
      </c>
      <c r="AD128" s="82" t="e">
        <f>IF(W128&lt;1,NA(),VLOOKUP(W128,成長曲線_データ!$V$4:$AA$73,3,TRUE))</f>
        <v>#N/A</v>
      </c>
      <c r="AE128" s="82" t="e">
        <f>IF(W128&lt;=6.5,VLOOKUP(W128,頭囲データ!$C$10:$E$85,2,TRUE),NA())</f>
        <v>#N/A</v>
      </c>
      <c r="AF128" s="82" t="e">
        <f>IF(W128&lt;=6.5,VLOOKUP(W128,頭囲データ!$C$10:$E$85,3,TRUE),NA())</f>
        <v>#N/A</v>
      </c>
      <c r="AG128" s="89" t="str">
        <f>入力!F128&amp;"y"&amp;入力!G128&amp;"m"</f>
        <v>ym</v>
      </c>
      <c r="AH128" s="89" t="e">
        <f>IF(AND(入力!W128&gt;=1,入力!W128&lt;6,入力!B128&gt;=70,入力!B128&lt;=120),入力!B128,NA())</f>
        <v>#N/A</v>
      </c>
      <c r="AI128" s="89" t="e">
        <f>IF(AND(入力!W128&gt;=1,入力!W128&lt;6,入力!B128&gt;=70,入力!B128&lt;=120),入力!X128,NA())</f>
        <v>#N/A</v>
      </c>
      <c r="AJ128" s="89" t="e">
        <f>IF(AND(入力!W128&gt;=6,入力!B128&gt;=100,入力!B128&lt;=184),入力!B128,NA())</f>
        <v>#N/A</v>
      </c>
      <c r="AK128" s="89" t="e">
        <f>IF(AND(入力!W128&gt;=6,入力!B128&gt;=100,入力!B128&lt;=184),入力!X128,NA())</f>
        <v>#N/A</v>
      </c>
      <c r="AL128" s="82" t="e">
        <f t="shared" si="98"/>
        <v>#N/A</v>
      </c>
      <c r="AM128" s="82"/>
      <c r="AN128" s="80" t="e">
        <f t="shared" si="99"/>
        <v>#N/A</v>
      </c>
      <c r="AO128" s="80" t="e">
        <f t="shared" si="100"/>
        <v>#N/A</v>
      </c>
      <c r="AP128" s="81" t="e">
        <f t="shared" si="101"/>
        <v>#N/A</v>
      </c>
      <c r="AQ128" s="81" t="e">
        <f t="shared" si="102"/>
        <v>#VALUE!</v>
      </c>
      <c r="AR128" s="81" t="e">
        <f t="shared" si="103"/>
        <v>#N/A</v>
      </c>
      <c r="AS128" s="81" t="e">
        <f t="shared" si="104"/>
        <v>#N/A</v>
      </c>
      <c r="AT128" s="81" t="e">
        <f t="shared" si="105"/>
        <v>#N/A</v>
      </c>
      <c r="AU128" s="81" t="e">
        <f t="shared" si="106"/>
        <v>#N/A</v>
      </c>
      <c r="AV128" s="81" t="e">
        <f t="shared" si="107"/>
        <v>#N/A</v>
      </c>
      <c r="AW128" s="81" t="e">
        <f t="shared" si="108"/>
        <v>#N/A</v>
      </c>
      <c r="AX128" s="81" t="e">
        <f t="shared" si="109"/>
        <v>#N/A</v>
      </c>
      <c r="AY128" s="81" t="e">
        <f>VLOOKUP($W128,頭囲データ!$R$10:$W$11,3,TRUE)*$W128^3+VLOOKUP($W128,頭囲データ!$R$10:$W$11,4,TRUE)*$W128^2+VLOOKUP($W128,頭囲データ!$R$10:$W$11,5,TRUE)*$W128+VLOOKUP($W128,頭囲データ!$R$10:$W$11,6,TRUE)</f>
        <v>#N/A</v>
      </c>
      <c r="AZ128" s="81" t="e">
        <f>VLOOKUP($W128,頭囲データ!$R$12:$W$16,3,TRUE)*$W128^3+VLOOKUP($W128,頭囲データ!$R$12:$W$16,4,TRUE)*$W128^2+VLOOKUP($W128,頭囲データ!$R$12:$W$16,5,TRUE)*$W128+VLOOKUP($W128,頭囲データ!$R$12:$W$16,6,TRUE)</f>
        <v>#N/A</v>
      </c>
      <c r="BA128" s="81" t="e">
        <f>VLOOKUP($W128,頭囲データ!$R$17:$W$18,3,TRUE)*$W128^3+VLOOKUP($W128,頭囲データ!$R$17:$W$18,4,TRUE)*$W128^2+VLOOKUP($W128,頭囲データ!$R$17:$W$18,5,TRUE)*$W128+VLOOKUP($W128,頭囲データ!$R$17:$W$18,6,TRUE)</f>
        <v>#N/A</v>
      </c>
      <c r="BB128" s="81" t="e">
        <f t="shared" si="110"/>
        <v>#N/A</v>
      </c>
      <c r="BC128" s="81" t="e">
        <f>VLOOKUP($W128,胸囲データ!$R$10:$W$11,3,TRUE)*$W128^3+VLOOKUP($W128,胸囲データ!$R$10:$W$11,4,TRUE)*$W128^2+VLOOKUP($W128,胸囲データ!$R$10:$W$11,5,TRUE)*$W128+VLOOKUP($W128,胸囲データ!$R$10:$W$11,6,TRUE)</f>
        <v>#N/A</v>
      </c>
      <c r="BD128" s="81" t="e">
        <f>VLOOKUP($W128,胸囲データ!$R$12:$W$16,3,TRUE)*$W128^3+VLOOKUP($W128,胸囲データ!$R$12:$W$16,4,TRUE)*$W128^2+VLOOKUP($W128,胸囲データ!$R$12:$W$16,5,TRUE)*$W128+VLOOKUP($W128,胸囲データ!$R$12:$W$16,6,TRUE)</f>
        <v>#N/A</v>
      </c>
      <c r="BE128" s="81" t="e">
        <f>VLOOKUP($W128,胸囲データ!$R$17:$W$18,3,TRUE)*$W128^3+VLOOKUP($W128,胸囲データ!$R$17:$W$18,4,TRUE)*$W128^2+VLOOKUP($W128,胸囲データ!$R$17:$W$18,5,TRUE)*$W128+VLOOKUP($W128,胸囲データ!$R$17:$W$18,6,TRUE)</f>
        <v>#N/A</v>
      </c>
    </row>
    <row r="129" spans="1:57" x14ac:dyDescent="0.15">
      <c r="A129" s="35"/>
      <c r="B129" s="36"/>
      <c r="C129" s="36"/>
      <c r="D129" s="49"/>
      <c r="E129" s="76"/>
      <c r="F129" s="51" t="str">
        <f t="shared" si="86"/>
        <v/>
      </c>
      <c r="G129" s="37" t="str">
        <f t="shared" si="82"/>
        <v/>
      </c>
      <c r="H129" s="38" t="str">
        <f>IF(ISERROR(W129),"",VLOOKUP(W129,成長曲線_データ!$D$4:$AC$214,3,TRUE))</f>
        <v/>
      </c>
      <c r="I129" s="39" t="str">
        <f t="shared" si="88"/>
        <v/>
      </c>
      <c r="J129" s="39" t="str">
        <f t="shared" si="89"/>
        <v/>
      </c>
      <c r="K129" s="39" t="str">
        <f t="shared" si="90"/>
        <v/>
      </c>
      <c r="L129" s="39" t="str">
        <f t="shared" si="87"/>
        <v/>
      </c>
      <c r="M129" s="39" t="str">
        <f t="shared" si="83"/>
        <v/>
      </c>
      <c r="N129" s="39" t="str">
        <f t="shared" si="84"/>
        <v/>
      </c>
      <c r="O129" s="40" t="str">
        <f t="shared" si="91"/>
        <v/>
      </c>
      <c r="P129" s="40" t="str">
        <f t="shared" si="92"/>
        <v/>
      </c>
      <c r="Q129" s="39" t="str">
        <f t="shared" si="63"/>
        <v/>
      </c>
      <c r="R129" s="39" t="str">
        <f t="shared" si="93"/>
        <v/>
      </c>
      <c r="S129" s="39" t="str">
        <f t="shared" si="85"/>
        <v/>
      </c>
      <c r="T129" s="41" t="str">
        <f t="shared" si="94"/>
        <v/>
      </c>
      <c r="V129" s="90"/>
      <c r="W129" s="79" t="e">
        <f t="shared" si="95"/>
        <v>#N/A</v>
      </c>
      <c r="X129" s="79" t="e">
        <f t="shared" si="96"/>
        <v>#N/A</v>
      </c>
      <c r="Y129" s="80" t="e">
        <f>IF(W129="","",VLOOKUP(W129,成長曲線_データ!$D$4:$AC$214,4,TRUE))</f>
        <v>#N/A</v>
      </c>
      <c r="Z129" s="80" t="e">
        <f>IF(W129="","",VLOOKUP(W129,成長曲線_データ!$D$4:$AC$214,12,TRUE))</f>
        <v>#N/A</v>
      </c>
      <c r="AA129" s="81" t="e">
        <f>IF(W129="","",VLOOKUP(W129,成長曲線_データ!$D$4:$AC$214,13,TRUE))</f>
        <v>#N/A</v>
      </c>
      <c r="AB129" s="94" t="e">
        <f t="shared" si="97"/>
        <v>#N/A</v>
      </c>
      <c r="AC129" s="82" t="e">
        <f>IF(W129&lt;0.5,NA(),VLOOKUP((W129+1/8),成長曲線_データ!$V$4:$AA$73,2,TRUE))</f>
        <v>#N/A</v>
      </c>
      <c r="AD129" s="82" t="e">
        <f>IF(W129&lt;1,NA(),VLOOKUP(W129,成長曲線_データ!$V$4:$AA$73,3,TRUE))</f>
        <v>#N/A</v>
      </c>
      <c r="AE129" s="82" t="e">
        <f>IF(W129&lt;=6.5,VLOOKUP(W129,頭囲データ!$C$10:$E$85,2,TRUE),NA())</f>
        <v>#N/A</v>
      </c>
      <c r="AF129" s="82" t="e">
        <f>IF(W129&lt;=6.5,VLOOKUP(W129,頭囲データ!$C$10:$E$85,3,TRUE),NA())</f>
        <v>#N/A</v>
      </c>
      <c r="AG129" s="89" t="str">
        <f>入力!F129&amp;"y"&amp;入力!G129&amp;"m"</f>
        <v>ym</v>
      </c>
      <c r="AH129" s="89" t="e">
        <f>IF(AND(入力!W129&gt;=1,入力!W129&lt;6,入力!B129&gt;=70,入力!B129&lt;=120),入力!B129,NA())</f>
        <v>#N/A</v>
      </c>
      <c r="AI129" s="89" t="e">
        <f>IF(AND(入力!W129&gt;=1,入力!W129&lt;6,入力!B129&gt;=70,入力!B129&lt;=120),入力!X129,NA())</f>
        <v>#N/A</v>
      </c>
      <c r="AJ129" s="89" t="e">
        <f>IF(AND(入力!W129&gt;=6,入力!B129&gt;=100,入力!B129&lt;=184),入力!B129,NA())</f>
        <v>#N/A</v>
      </c>
      <c r="AK129" s="89" t="e">
        <f>IF(AND(入力!W129&gt;=6,入力!B129&gt;=100,入力!B129&lt;=184),入力!X129,NA())</f>
        <v>#N/A</v>
      </c>
      <c r="AL129" s="82" t="e">
        <f t="shared" si="98"/>
        <v>#N/A</v>
      </c>
      <c r="AM129" s="82"/>
      <c r="AN129" s="80" t="e">
        <f t="shared" si="99"/>
        <v>#N/A</v>
      </c>
      <c r="AO129" s="80" t="e">
        <f t="shared" si="100"/>
        <v>#N/A</v>
      </c>
      <c r="AP129" s="81" t="e">
        <f t="shared" si="101"/>
        <v>#N/A</v>
      </c>
      <c r="AQ129" s="81" t="e">
        <f t="shared" si="102"/>
        <v>#VALUE!</v>
      </c>
      <c r="AR129" s="81" t="e">
        <f t="shared" si="103"/>
        <v>#N/A</v>
      </c>
      <c r="AS129" s="81" t="e">
        <f t="shared" si="104"/>
        <v>#N/A</v>
      </c>
      <c r="AT129" s="81" t="e">
        <f t="shared" si="105"/>
        <v>#N/A</v>
      </c>
      <c r="AU129" s="81" t="e">
        <f t="shared" si="106"/>
        <v>#N/A</v>
      </c>
      <c r="AV129" s="81" t="e">
        <f t="shared" si="107"/>
        <v>#N/A</v>
      </c>
      <c r="AW129" s="81" t="e">
        <f t="shared" si="108"/>
        <v>#N/A</v>
      </c>
      <c r="AX129" s="81" t="e">
        <f t="shared" si="109"/>
        <v>#N/A</v>
      </c>
      <c r="AY129" s="81" t="e">
        <f>VLOOKUP($W129,頭囲データ!$R$10:$W$11,3,TRUE)*$W129^3+VLOOKUP($W129,頭囲データ!$R$10:$W$11,4,TRUE)*$W129^2+VLOOKUP($W129,頭囲データ!$R$10:$W$11,5,TRUE)*$W129+VLOOKUP($W129,頭囲データ!$R$10:$W$11,6,TRUE)</f>
        <v>#N/A</v>
      </c>
      <c r="AZ129" s="81" t="e">
        <f>VLOOKUP($W129,頭囲データ!$R$12:$W$16,3,TRUE)*$W129^3+VLOOKUP($W129,頭囲データ!$R$12:$W$16,4,TRUE)*$W129^2+VLOOKUP($W129,頭囲データ!$R$12:$W$16,5,TRUE)*$W129+VLOOKUP($W129,頭囲データ!$R$12:$W$16,6,TRUE)</f>
        <v>#N/A</v>
      </c>
      <c r="BA129" s="81" t="e">
        <f>VLOOKUP($W129,頭囲データ!$R$17:$W$18,3,TRUE)*$W129^3+VLOOKUP($W129,頭囲データ!$R$17:$W$18,4,TRUE)*$W129^2+VLOOKUP($W129,頭囲データ!$R$17:$W$18,5,TRUE)*$W129+VLOOKUP($W129,頭囲データ!$R$17:$W$18,6,TRUE)</f>
        <v>#N/A</v>
      </c>
      <c r="BB129" s="81" t="e">
        <f t="shared" si="110"/>
        <v>#N/A</v>
      </c>
      <c r="BC129" s="81" t="e">
        <f>VLOOKUP($W129,胸囲データ!$R$10:$W$11,3,TRUE)*$W129^3+VLOOKUP($W129,胸囲データ!$R$10:$W$11,4,TRUE)*$W129^2+VLOOKUP($W129,胸囲データ!$R$10:$W$11,5,TRUE)*$W129+VLOOKUP($W129,胸囲データ!$R$10:$W$11,6,TRUE)</f>
        <v>#N/A</v>
      </c>
      <c r="BD129" s="81" t="e">
        <f>VLOOKUP($W129,胸囲データ!$R$12:$W$16,3,TRUE)*$W129^3+VLOOKUP($W129,胸囲データ!$R$12:$W$16,4,TRUE)*$W129^2+VLOOKUP($W129,胸囲データ!$R$12:$W$16,5,TRUE)*$W129+VLOOKUP($W129,胸囲データ!$R$12:$W$16,6,TRUE)</f>
        <v>#N/A</v>
      </c>
      <c r="BE129" s="81" t="e">
        <f>VLOOKUP($W129,胸囲データ!$R$17:$W$18,3,TRUE)*$W129^3+VLOOKUP($W129,胸囲データ!$R$17:$W$18,4,TRUE)*$W129^2+VLOOKUP($W129,胸囲データ!$R$17:$W$18,5,TRUE)*$W129+VLOOKUP($W129,胸囲データ!$R$17:$W$18,6,TRUE)</f>
        <v>#N/A</v>
      </c>
    </row>
    <row r="130" spans="1:57" x14ac:dyDescent="0.15">
      <c r="A130" s="35"/>
      <c r="B130" s="36"/>
      <c r="C130" s="36"/>
      <c r="D130" s="49"/>
      <c r="E130" s="76"/>
      <c r="F130" s="51" t="str">
        <f t="shared" si="86"/>
        <v/>
      </c>
      <c r="G130" s="37" t="str">
        <f t="shared" si="82"/>
        <v/>
      </c>
      <c r="H130" s="38" t="str">
        <f>IF(ISERROR(W130),"",VLOOKUP(W130,成長曲線_データ!$D$4:$AC$214,3,TRUE))</f>
        <v/>
      </c>
      <c r="I130" s="39" t="str">
        <f t="shared" si="88"/>
        <v/>
      </c>
      <c r="J130" s="39" t="str">
        <f t="shared" si="89"/>
        <v/>
      </c>
      <c r="K130" s="39" t="str">
        <f t="shared" si="90"/>
        <v/>
      </c>
      <c r="L130" s="39" t="str">
        <f t="shared" si="87"/>
        <v/>
      </c>
      <c r="M130" s="39" t="str">
        <f t="shared" si="83"/>
        <v/>
      </c>
      <c r="N130" s="39" t="str">
        <f t="shared" si="84"/>
        <v/>
      </c>
      <c r="O130" s="40" t="str">
        <f t="shared" si="91"/>
        <v/>
      </c>
      <c r="P130" s="40" t="str">
        <f t="shared" si="92"/>
        <v/>
      </c>
      <c r="Q130" s="39" t="str">
        <f t="shared" si="63"/>
        <v/>
      </c>
      <c r="R130" s="39" t="str">
        <f t="shared" si="93"/>
        <v/>
      </c>
      <c r="S130" s="39" t="str">
        <f t="shared" si="85"/>
        <v/>
      </c>
      <c r="T130" s="41" t="str">
        <f t="shared" si="94"/>
        <v/>
      </c>
      <c r="V130" s="90"/>
      <c r="W130" s="79" t="e">
        <f t="shared" si="95"/>
        <v>#N/A</v>
      </c>
      <c r="X130" s="79" t="e">
        <f t="shared" si="96"/>
        <v>#N/A</v>
      </c>
      <c r="Y130" s="80" t="e">
        <f>IF(W130="","",VLOOKUP(W130,成長曲線_データ!$D$4:$AC$214,4,TRUE))</f>
        <v>#N/A</v>
      </c>
      <c r="Z130" s="80" t="e">
        <f>IF(W130="","",VLOOKUP(W130,成長曲線_データ!$D$4:$AC$214,12,TRUE))</f>
        <v>#N/A</v>
      </c>
      <c r="AA130" s="81" t="e">
        <f>IF(W130="","",VLOOKUP(W130,成長曲線_データ!$D$4:$AC$214,13,TRUE))</f>
        <v>#N/A</v>
      </c>
      <c r="AB130" s="94" t="e">
        <f t="shared" si="97"/>
        <v>#N/A</v>
      </c>
      <c r="AC130" s="82" t="e">
        <f>IF(W130&lt;0.5,NA(),VLOOKUP((W130+1/8),成長曲線_データ!$V$4:$AA$73,2,TRUE))</f>
        <v>#N/A</v>
      </c>
      <c r="AD130" s="82" t="e">
        <f>IF(W130&lt;1,NA(),VLOOKUP(W130,成長曲線_データ!$V$4:$AA$73,3,TRUE))</f>
        <v>#N/A</v>
      </c>
      <c r="AE130" s="82" t="e">
        <f>IF(W130&lt;=6.5,VLOOKUP(W130,頭囲データ!$C$10:$E$85,2,TRUE),NA())</f>
        <v>#N/A</v>
      </c>
      <c r="AF130" s="82" t="e">
        <f>IF(W130&lt;=6.5,VLOOKUP(W130,頭囲データ!$C$10:$E$85,3,TRUE),NA())</f>
        <v>#N/A</v>
      </c>
      <c r="AG130" s="89" t="str">
        <f>入力!F130&amp;"y"&amp;入力!G130&amp;"m"</f>
        <v>ym</v>
      </c>
      <c r="AH130" s="89" t="e">
        <f>IF(AND(入力!W130&gt;=1,入力!W130&lt;6,入力!B130&gt;=70,入力!B130&lt;=120),入力!B130,NA())</f>
        <v>#N/A</v>
      </c>
      <c r="AI130" s="89" t="e">
        <f>IF(AND(入力!W130&gt;=1,入力!W130&lt;6,入力!B130&gt;=70,入力!B130&lt;=120),入力!X130,NA())</f>
        <v>#N/A</v>
      </c>
      <c r="AJ130" s="89" t="e">
        <f>IF(AND(入力!W130&gt;=6,入力!B130&gt;=100,入力!B130&lt;=184),入力!B130,NA())</f>
        <v>#N/A</v>
      </c>
      <c r="AK130" s="89" t="e">
        <f>IF(AND(入力!W130&gt;=6,入力!B130&gt;=100,入力!B130&lt;=184),入力!X130,NA())</f>
        <v>#N/A</v>
      </c>
      <c r="AL130" s="82" t="e">
        <f t="shared" si="98"/>
        <v>#N/A</v>
      </c>
      <c r="AM130" s="82"/>
      <c r="AN130" s="80" t="e">
        <f t="shared" si="99"/>
        <v>#N/A</v>
      </c>
      <c r="AO130" s="80" t="e">
        <f t="shared" si="100"/>
        <v>#N/A</v>
      </c>
      <c r="AP130" s="81" t="e">
        <f t="shared" si="101"/>
        <v>#N/A</v>
      </c>
      <c r="AQ130" s="81" t="e">
        <f t="shared" si="102"/>
        <v>#VALUE!</v>
      </c>
      <c r="AR130" s="81" t="e">
        <f t="shared" si="103"/>
        <v>#N/A</v>
      </c>
      <c r="AS130" s="81" t="e">
        <f t="shared" si="104"/>
        <v>#N/A</v>
      </c>
      <c r="AT130" s="81" t="e">
        <f t="shared" si="105"/>
        <v>#N/A</v>
      </c>
      <c r="AU130" s="81" t="e">
        <f t="shared" si="106"/>
        <v>#N/A</v>
      </c>
      <c r="AV130" s="81" t="e">
        <f t="shared" si="107"/>
        <v>#N/A</v>
      </c>
      <c r="AW130" s="81" t="e">
        <f t="shared" si="108"/>
        <v>#N/A</v>
      </c>
      <c r="AX130" s="81" t="e">
        <f t="shared" si="109"/>
        <v>#N/A</v>
      </c>
      <c r="AY130" s="81" t="e">
        <f>VLOOKUP($W130,頭囲データ!$R$10:$W$11,3,TRUE)*$W130^3+VLOOKUP($W130,頭囲データ!$R$10:$W$11,4,TRUE)*$W130^2+VLOOKUP($W130,頭囲データ!$R$10:$W$11,5,TRUE)*$W130+VLOOKUP($W130,頭囲データ!$R$10:$W$11,6,TRUE)</f>
        <v>#N/A</v>
      </c>
      <c r="AZ130" s="81" t="e">
        <f>VLOOKUP($W130,頭囲データ!$R$12:$W$16,3,TRUE)*$W130^3+VLOOKUP($W130,頭囲データ!$R$12:$W$16,4,TRUE)*$W130^2+VLOOKUP($W130,頭囲データ!$R$12:$W$16,5,TRUE)*$W130+VLOOKUP($W130,頭囲データ!$R$12:$W$16,6,TRUE)</f>
        <v>#N/A</v>
      </c>
      <c r="BA130" s="81" t="e">
        <f>VLOOKUP($W130,頭囲データ!$R$17:$W$18,3,TRUE)*$W130^3+VLOOKUP($W130,頭囲データ!$R$17:$W$18,4,TRUE)*$W130^2+VLOOKUP($W130,頭囲データ!$R$17:$W$18,5,TRUE)*$W130+VLOOKUP($W130,頭囲データ!$R$17:$W$18,6,TRUE)</f>
        <v>#N/A</v>
      </c>
      <c r="BB130" s="81" t="e">
        <f t="shared" si="110"/>
        <v>#N/A</v>
      </c>
      <c r="BC130" s="81" t="e">
        <f>VLOOKUP($W130,胸囲データ!$R$10:$W$11,3,TRUE)*$W130^3+VLOOKUP($W130,胸囲データ!$R$10:$W$11,4,TRUE)*$W130^2+VLOOKUP($W130,胸囲データ!$R$10:$W$11,5,TRUE)*$W130+VLOOKUP($W130,胸囲データ!$R$10:$W$11,6,TRUE)</f>
        <v>#N/A</v>
      </c>
      <c r="BD130" s="81" t="e">
        <f>VLOOKUP($W130,胸囲データ!$R$12:$W$16,3,TRUE)*$W130^3+VLOOKUP($W130,胸囲データ!$R$12:$W$16,4,TRUE)*$W130^2+VLOOKUP($W130,胸囲データ!$R$12:$W$16,5,TRUE)*$W130+VLOOKUP($W130,胸囲データ!$R$12:$W$16,6,TRUE)</f>
        <v>#N/A</v>
      </c>
      <c r="BE130" s="81" t="e">
        <f>VLOOKUP($W130,胸囲データ!$R$17:$W$18,3,TRUE)*$W130^3+VLOOKUP($W130,胸囲データ!$R$17:$W$18,4,TRUE)*$W130^2+VLOOKUP($W130,胸囲データ!$R$17:$W$18,5,TRUE)*$W130+VLOOKUP($W130,胸囲データ!$R$17:$W$18,6,TRUE)</f>
        <v>#N/A</v>
      </c>
    </row>
    <row r="131" spans="1:57" x14ac:dyDescent="0.15">
      <c r="A131" s="35"/>
      <c r="B131" s="36"/>
      <c r="C131" s="36"/>
      <c r="D131" s="49"/>
      <c r="E131" s="76"/>
      <c r="F131" s="51" t="str">
        <f t="shared" si="86"/>
        <v/>
      </c>
      <c r="G131" s="37" t="str">
        <f t="shared" si="82"/>
        <v/>
      </c>
      <c r="H131" s="38" t="str">
        <f>IF(ISERROR(W131),"",VLOOKUP(W131,成長曲線_データ!$D$4:$AC$214,3,TRUE))</f>
        <v/>
      </c>
      <c r="I131" s="39" t="str">
        <f t="shared" si="88"/>
        <v/>
      </c>
      <c r="J131" s="39" t="str">
        <f t="shared" si="89"/>
        <v/>
      </c>
      <c r="K131" s="39" t="str">
        <f t="shared" si="90"/>
        <v/>
      </c>
      <c r="L131" s="39" t="str">
        <f t="shared" si="87"/>
        <v/>
      </c>
      <c r="M131" s="39" t="str">
        <f t="shared" si="83"/>
        <v/>
      </c>
      <c r="N131" s="39" t="str">
        <f t="shared" si="84"/>
        <v/>
      </c>
      <c r="O131" s="40" t="str">
        <f t="shared" si="91"/>
        <v/>
      </c>
      <c r="P131" s="40" t="str">
        <f t="shared" si="92"/>
        <v/>
      </c>
      <c r="Q131" s="39" t="str">
        <f t="shared" si="63"/>
        <v/>
      </c>
      <c r="R131" s="39" t="str">
        <f t="shared" si="93"/>
        <v/>
      </c>
      <c r="S131" s="39" t="str">
        <f t="shared" si="85"/>
        <v/>
      </c>
      <c r="T131" s="41" t="str">
        <f t="shared" si="94"/>
        <v/>
      </c>
      <c r="V131" s="90"/>
      <c r="W131" s="79" t="e">
        <f t="shared" si="95"/>
        <v>#N/A</v>
      </c>
      <c r="X131" s="79" t="e">
        <f t="shared" si="96"/>
        <v>#N/A</v>
      </c>
      <c r="Y131" s="80" t="e">
        <f>IF(W131="","",VLOOKUP(W131,成長曲線_データ!$D$4:$AC$214,4,TRUE))</f>
        <v>#N/A</v>
      </c>
      <c r="Z131" s="80" t="e">
        <f>IF(W131="","",VLOOKUP(W131,成長曲線_データ!$D$4:$AC$214,12,TRUE))</f>
        <v>#N/A</v>
      </c>
      <c r="AA131" s="81" t="e">
        <f>IF(W131="","",VLOOKUP(W131,成長曲線_データ!$D$4:$AC$214,13,TRUE))</f>
        <v>#N/A</v>
      </c>
      <c r="AB131" s="94" t="e">
        <f t="shared" si="97"/>
        <v>#N/A</v>
      </c>
      <c r="AC131" s="82" t="e">
        <f>IF(W131&lt;0.5,NA(),VLOOKUP((W131+1/8),成長曲線_データ!$V$4:$AA$73,2,TRUE))</f>
        <v>#N/A</v>
      </c>
      <c r="AD131" s="82" t="e">
        <f>IF(W131&lt;1,NA(),VLOOKUP(W131,成長曲線_データ!$V$4:$AA$73,3,TRUE))</f>
        <v>#N/A</v>
      </c>
      <c r="AE131" s="82" t="e">
        <f>IF(W131&lt;=6.5,VLOOKUP(W131,頭囲データ!$C$10:$E$85,2,TRUE),NA())</f>
        <v>#N/A</v>
      </c>
      <c r="AF131" s="82" t="e">
        <f>IF(W131&lt;=6.5,VLOOKUP(W131,頭囲データ!$C$10:$E$85,3,TRUE),NA())</f>
        <v>#N/A</v>
      </c>
      <c r="AG131" s="89" t="str">
        <f>入力!F131&amp;"y"&amp;入力!G131&amp;"m"</f>
        <v>ym</v>
      </c>
      <c r="AH131" s="89" t="e">
        <f>IF(AND(入力!W131&gt;=1,入力!W131&lt;6,入力!B131&gt;=70,入力!B131&lt;=120),入力!B131,NA())</f>
        <v>#N/A</v>
      </c>
      <c r="AI131" s="89" t="e">
        <f>IF(AND(入力!W131&gt;=1,入力!W131&lt;6,入力!B131&gt;=70,入力!B131&lt;=120),入力!X131,NA())</f>
        <v>#N/A</v>
      </c>
      <c r="AJ131" s="89" t="e">
        <f>IF(AND(入力!W131&gt;=6,入力!B131&gt;=100,入力!B131&lt;=184),入力!B131,NA())</f>
        <v>#N/A</v>
      </c>
      <c r="AK131" s="89" t="e">
        <f>IF(AND(入力!W131&gt;=6,入力!B131&gt;=100,入力!B131&lt;=184),入力!X131,NA())</f>
        <v>#N/A</v>
      </c>
      <c r="AL131" s="82" t="e">
        <f t="shared" si="98"/>
        <v>#N/A</v>
      </c>
      <c r="AM131" s="82"/>
      <c r="AN131" s="80" t="e">
        <f t="shared" si="99"/>
        <v>#N/A</v>
      </c>
      <c r="AO131" s="80" t="e">
        <f t="shared" si="100"/>
        <v>#N/A</v>
      </c>
      <c r="AP131" s="81" t="e">
        <f t="shared" si="101"/>
        <v>#N/A</v>
      </c>
      <c r="AQ131" s="81" t="e">
        <f t="shared" si="102"/>
        <v>#VALUE!</v>
      </c>
      <c r="AR131" s="81" t="e">
        <f t="shared" si="103"/>
        <v>#N/A</v>
      </c>
      <c r="AS131" s="81" t="e">
        <f t="shared" si="104"/>
        <v>#N/A</v>
      </c>
      <c r="AT131" s="81" t="e">
        <f t="shared" si="105"/>
        <v>#N/A</v>
      </c>
      <c r="AU131" s="81" t="e">
        <f t="shared" si="106"/>
        <v>#N/A</v>
      </c>
      <c r="AV131" s="81" t="e">
        <f t="shared" si="107"/>
        <v>#N/A</v>
      </c>
      <c r="AW131" s="81" t="e">
        <f t="shared" si="108"/>
        <v>#N/A</v>
      </c>
      <c r="AX131" s="81" t="e">
        <f t="shared" si="109"/>
        <v>#N/A</v>
      </c>
      <c r="AY131" s="81" t="e">
        <f>VLOOKUP($W131,頭囲データ!$R$10:$W$11,3,TRUE)*$W131^3+VLOOKUP($W131,頭囲データ!$R$10:$W$11,4,TRUE)*$W131^2+VLOOKUP($W131,頭囲データ!$R$10:$W$11,5,TRUE)*$W131+VLOOKUP($W131,頭囲データ!$R$10:$W$11,6,TRUE)</f>
        <v>#N/A</v>
      </c>
      <c r="AZ131" s="81" t="e">
        <f>VLOOKUP($W131,頭囲データ!$R$12:$W$16,3,TRUE)*$W131^3+VLOOKUP($W131,頭囲データ!$R$12:$W$16,4,TRUE)*$W131^2+VLOOKUP($W131,頭囲データ!$R$12:$W$16,5,TRUE)*$W131+VLOOKUP($W131,頭囲データ!$R$12:$W$16,6,TRUE)</f>
        <v>#N/A</v>
      </c>
      <c r="BA131" s="81" t="e">
        <f>VLOOKUP($W131,頭囲データ!$R$17:$W$18,3,TRUE)*$W131^3+VLOOKUP($W131,頭囲データ!$R$17:$W$18,4,TRUE)*$W131^2+VLOOKUP($W131,頭囲データ!$R$17:$W$18,5,TRUE)*$W131+VLOOKUP($W131,頭囲データ!$R$17:$W$18,6,TRUE)</f>
        <v>#N/A</v>
      </c>
      <c r="BB131" s="81" t="e">
        <f t="shared" si="110"/>
        <v>#N/A</v>
      </c>
      <c r="BC131" s="81" t="e">
        <f>VLOOKUP($W131,胸囲データ!$R$10:$W$11,3,TRUE)*$W131^3+VLOOKUP($W131,胸囲データ!$R$10:$W$11,4,TRUE)*$W131^2+VLOOKUP($W131,胸囲データ!$R$10:$W$11,5,TRUE)*$W131+VLOOKUP($W131,胸囲データ!$R$10:$W$11,6,TRUE)</f>
        <v>#N/A</v>
      </c>
      <c r="BD131" s="81" t="e">
        <f>VLOOKUP($W131,胸囲データ!$R$12:$W$16,3,TRUE)*$W131^3+VLOOKUP($W131,胸囲データ!$R$12:$W$16,4,TRUE)*$W131^2+VLOOKUP($W131,胸囲データ!$R$12:$W$16,5,TRUE)*$W131+VLOOKUP($W131,胸囲データ!$R$12:$W$16,6,TRUE)</f>
        <v>#N/A</v>
      </c>
      <c r="BE131" s="81" t="e">
        <f>VLOOKUP($W131,胸囲データ!$R$17:$W$18,3,TRUE)*$W131^3+VLOOKUP($W131,胸囲データ!$R$17:$W$18,4,TRUE)*$W131^2+VLOOKUP($W131,胸囲データ!$R$17:$W$18,5,TRUE)*$W131+VLOOKUP($W131,胸囲データ!$R$17:$W$18,6,TRUE)</f>
        <v>#N/A</v>
      </c>
    </row>
    <row r="132" spans="1:57" x14ac:dyDescent="0.15">
      <c r="A132" s="35"/>
      <c r="B132" s="36"/>
      <c r="C132" s="36"/>
      <c r="D132" s="49"/>
      <c r="E132" s="76"/>
      <c r="F132" s="51" t="str">
        <f t="shared" si="86"/>
        <v/>
      </c>
      <c r="G132" s="37" t="str">
        <f t="shared" si="82"/>
        <v/>
      </c>
      <c r="H132" s="38" t="str">
        <f>IF(ISERROR(W132),"",VLOOKUP(W132,成長曲線_データ!$D$4:$AC$214,3,TRUE))</f>
        <v/>
      </c>
      <c r="I132" s="39" t="str">
        <f t="shared" si="88"/>
        <v/>
      </c>
      <c r="J132" s="39" t="str">
        <f t="shared" si="89"/>
        <v/>
      </c>
      <c r="K132" s="39" t="str">
        <f t="shared" si="90"/>
        <v/>
      </c>
      <c r="L132" s="39" t="str">
        <f t="shared" si="87"/>
        <v/>
      </c>
      <c r="M132" s="39" t="str">
        <f t="shared" si="83"/>
        <v/>
      </c>
      <c r="N132" s="39" t="str">
        <f t="shared" si="84"/>
        <v/>
      </c>
      <c r="O132" s="40" t="str">
        <f t="shared" si="91"/>
        <v/>
      </c>
      <c r="P132" s="40" t="str">
        <f t="shared" si="92"/>
        <v/>
      </c>
      <c r="Q132" s="39" t="str">
        <f t="shared" si="63"/>
        <v/>
      </c>
      <c r="R132" s="39" t="str">
        <f t="shared" si="93"/>
        <v/>
      </c>
      <c r="S132" s="39" t="str">
        <f t="shared" si="85"/>
        <v/>
      </c>
      <c r="T132" s="41" t="str">
        <f t="shared" si="94"/>
        <v/>
      </c>
      <c r="V132" s="90"/>
      <c r="W132" s="79" t="e">
        <f t="shared" si="95"/>
        <v>#N/A</v>
      </c>
      <c r="X132" s="79" t="e">
        <f t="shared" si="96"/>
        <v>#N/A</v>
      </c>
      <c r="Y132" s="80" t="e">
        <f>IF(W132="","",VLOOKUP(W132,成長曲線_データ!$D$4:$AC$214,4,TRUE))</f>
        <v>#N/A</v>
      </c>
      <c r="Z132" s="80" t="e">
        <f>IF(W132="","",VLOOKUP(W132,成長曲線_データ!$D$4:$AC$214,12,TRUE))</f>
        <v>#N/A</v>
      </c>
      <c r="AA132" s="81" t="e">
        <f>IF(W132="","",VLOOKUP(W132,成長曲線_データ!$D$4:$AC$214,13,TRUE))</f>
        <v>#N/A</v>
      </c>
      <c r="AB132" s="94" t="e">
        <f t="shared" si="97"/>
        <v>#N/A</v>
      </c>
      <c r="AC132" s="82" t="e">
        <f>IF(W132&lt;0.5,NA(),VLOOKUP((W132+1/8),成長曲線_データ!$V$4:$AA$73,2,TRUE))</f>
        <v>#N/A</v>
      </c>
      <c r="AD132" s="82" t="e">
        <f>IF(W132&lt;1,NA(),VLOOKUP(W132,成長曲線_データ!$V$4:$AA$73,3,TRUE))</f>
        <v>#N/A</v>
      </c>
      <c r="AE132" s="82" t="e">
        <f>IF(W132&lt;=6.5,VLOOKUP(W132,頭囲データ!$C$10:$E$85,2,TRUE),NA())</f>
        <v>#N/A</v>
      </c>
      <c r="AF132" s="82" t="e">
        <f>IF(W132&lt;=6.5,VLOOKUP(W132,頭囲データ!$C$10:$E$85,3,TRUE),NA())</f>
        <v>#N/A</v>
      </c>
      <c r="AG132" s="89" t="str">
        <f>入力!F132&amp;"y"&amp;入力!G132&amp;"m"</f>
        <v>ym</v>
      </c>
      <c r="AH132" s="89" t="e">
        <f>IF(AND(入力!W132&gt;=1,入力!W132&lt;6,入力!B132&gt;=70,入力!B132&lt;=120),入力!B132,NA())</f>
        <v>#N/A</v>
      </c>
      <c r="AI132" s="89" t="e">
        <f>IF(AND(入力!W132&gt;=1,入力!W132&lt;6,入力!B132&gt;=70,入力!B132&lt;=120),入力!X132,NA())</f>
        <v>#N/A</v>
      </c>
      <c r="AJ132" s="89" t="e">
        <f>IF(AND(入力!W132&gt;=6,入力!B132&gt;=100,入力!B132&lt;=184),入力!B132,NA())</f>
        <v>#N/A</v>
      </c>
      <c r="AK132" s="89" t="e">
        <f>IF(AND(入力!W132&gt;=6,入力!B132&gt;=100,入力!B132&lt;=184),入力!X132,NA())</f>
        <v>#N/A</v>
      </c>
      <c r="AL132" s="82" t="e">
        <f t="shared" si="98"/>
        <v>#N/A</v>
      </c>
      <c r="AM132" s="82"/>
      <c r="AN132" s="80" t="e">
        <f t="shared" si="99"/>
        <v>#N/A</v>
      </c>
      <c r="AO132" s="80" t="e">
        <f t="shared" si="100"/>
        <v>#N/A</v>
      </c>
      <c r="AP132" s="81" t="e">
        <f t="shared" si="101"/>
        <v>#N/A</v>
      </c>
      <c r="AQ132" s="81" t="e">
        <f t="shared" si="102"/>
        <v>#VALUE!</v>
      </c>
      <c r="AR132" s="81" t="e">
        <f t="shared" si="103"/>
        <v>#N/A</v>
      </c>
      <c r="AS132" s="81" t="e">
        <f t="shared" si="104"/>
        <v>#N/A</v>
      </c>
      <c r="AT132" s="81" t="e">
        <f t="shared" si="105"/>
        <v>#N/A</v>
      </c>
      <c r="AU132" s="81" t="e">
        <f t="shared" si="106"/>
        <v>#N/A</v>
      </c>
      <c r="AV132" s="81" t="e">
        <f t="shared" si="107"/>
        <v>#N/A</v>
      </c>
      <c r="AW132" s="81" t="e">
        <f t="shared" si="108"/>
        <v>#N/A</v>
      </c>
      <c r="AX132" s="81" t="e">
        <f t="shared" si="109"/>
        <v>#N/A</v>
      </c>
      <c r="AY132" s="81" t="e">
        <f>VLOOKUP($W132,頭囲データ!$R$10:$W$11,3,TRUE)*$W132^3+VLOOKUP($W132,頭囲データ!$R$10:$W$11,4,TRUE)*$W132^2+VLOOKUP($W132,頭囲データ!$R$10:$W$11,5,TRUE)*$W132+VLOOKUP($W132,頭囲データ!$R$10:$W$11,6,TRUE)</f>
        <v>#N/A</v>
      </c>
      <c r="AZ132" s="81" t="e">
        <f>VLOOKUP($W132,頭囲データ!$R$12:$W$16,3,TRUE)*$W132^3+VLOOKUP($W132,頭囲データ!$R$12:$W$16,4,TRUE)*$W132^2+VLOOKUP($W132,頭囲データ!$R$12:$W$16,5,TRUE)*$W132+VLOOKUP($W132,頭囲データ!$R$12:$W$16,6,TRUE)</f>
        <v>#N/A</v>
      </c>
      <c r="BA132" s="81" t="e">
        <f>VLOOKUP($W132,頭囲データ!$R$17:$W$18,3,TRUE)*$W132^3+VLOOKUP($W132,頭囲データ!$R$17:$W$18,4,TRUE)*$W132^2+VLOOKUP($W132,頭囲データ!$R$17:$W$18,5,TRUE)*$W132+VLOOKUP($W132,頭囲データ!$R$17:$W$18,6,TRUE)</f>
        <v>#N/A</v>
      </c>
      <c r="BB132" s="81" t="e">
        <f t="shared" si="110"/>
        <v>#N/A</v>
      </c>
      <c r="BC132" s="81" t="e">
        <f>VLOOKUP($W132,胸囲データ!$R$10:$W$11,3,TRUE)*$W132^3+VLOOKUP($W132,胸囲データ!$R$10:$W$11,4,TRUE)*$W132^2+VLOOKUP($W132,胸囲データ!$R$10:$W$11,5,TRUE)*$W132+VLOOKUP($W132,胸囲データ!$R$10:$W$11,6,TRUE)</f>
        <v>#N/A</v>
      </c>
      <c r="BD132" s="81" t="e">
        <f>VLOOKUP($W132,胸囲データ!$R$12:$W$16,3,TRUE)*$W132^3+VLOOKUP($W132,胸囲データ!$R$12:$W$16,4,TRUE)*$W132^2+VLOOKUP($W132,胸囲データ!$R$12:$W$16,5,TRUE)*$W132+VLOOKUP($W132,胸囲データ!$R$12:$W$16,6,TRUE)</f>
        <v>#N/A</v>
      </c>
      <c r="BE132" s="81" t="e">
        <f>VLOOKUP($W132,胸囲データ!$R$17:$W$18,3,TRUE)*$W132^3+VLOOKUP($W132,胸囲データ!$R$17:$W$18,4,TRUE)*$W132^2+VLOOKUP($W132,胸囲データ!$R$17:$W$18,5,TRUE)*$W132+VLOOKUP($W132,胸囲データ!$R$17:$W$18,6,TRUE)</f>
        <v>#N/A</v>
      </c>
    </row>
    <row r="133" spans="1:57" x14ac:dyDescent="0.15">
      <c r="A133" s="35"/>
      <c r="B133" s="36"/>
      <c r="C133" s="36"/>
      <c r="D133" s="49"/>
      <c r="E133" s="76"/>
      <c r="F133" s="51" t="str">
        <f t="shared" si="86"/>
        <v/>
      </c>
      <c r="G133" s="37" t="str">
        <f t="shared" si="82"/>
        <v/>
      </c>
      <c r="H133" s="38" t="str">
        <f>IF(ISERROR(W133),"",VLOOKUP(W133,成長曲線_データ!$D$4:$AC$214,3,TRUE))</f>
        <v/>
      </c>
      <c r="I133" s="39" t="str">
        <f t="shared" si="88"/>
        <v/>
      </c>
      <c r="J133" s="39" t="str">
        <f t="shared" si="89"/>
        <v/>
      </c>
      <c r="K133" s="39" t="str">
        <f t="shared" si="90"/>
        <v/>
      </c>
      <c r="L133" s="39" t="str">
        <f t="shared" si="87"/>
        <v/>
      </c>
      <c r="M133" s="39" t="str">
        <f t="shared" si="83"/>
        <v/>
      </c>
      <c r="N133" s="39" t="str">
        <f t="shared" si="84"/>
        <v/>
      </c>
      <c r="O133" s="40" t="str">
        <f t="shared" si="91"/>
        <v/>
      </c>
      <c r="P133" s="40" t="str">
        <f t="shared" si="92"/>
        <v/>
      </c>
      <c r="Q133" s="39" t="str">
        <f t="shared" si="63"/>
        <v/>
      </c>
      <c r="R133" s="39" t="str">
        <f t="shared" si="93"/>
        <v/>
      </c>
      <c r="S133" s="39" t="str">
        <f t="shared" si="85"/>
        <v/>
      </c>
      <c r="T133" s="41" t="str">
        <f t="shared" si="94"/>
        <v/>
      </c>
      <c r="V133" s="90"/>
      <c r="W133" s="79" t="e">
        <f t="shared" si="95"/>
        <v>#N/A</v>
      </c>
      <c r="X133" s="79" t="e">
        <f t="shared" si="96"/>
        <v>#N/A</v>
      </c>
      <c r="Y133" s="80" t="e">
        <f>IF(W133="","",VLOOKUP(W133,成長曲線_データ!$D$4:$AC$214,4,TRUE))</f>
        <v>#N/A</v>
      </c>
      <c r="Z133" s="80" t="e">
        <f>IF(W133="","",VLOOKUP(W133,成長曲線_データ!$D$4:$AC$214,12,TRUE))</f>
        <v>#N/A</v>
      </c>
      <c r="AA133" s="81" t="e">
        <f>IF(W133="","",VLOOKUP(W133,成長曲線_データ!$D$4:$AC$214,13,TRUE))</f>
        <v>#N/A</v>
      </c>
      <c r="AB133" s="94" t="e">
        <f t="shared" si="97"/>
        <v>#N/A</v>
      </c>
      <c r="AC133" s="82" t="e">
        <f>IF(W133&lt;0.5,NA(),VLOOKUP((W133+1/8),成長曲線_データ!$V$4:$AA$73,2,TRUE))</f>
        <v>#N/A</v>
      </c>
      <c r="AD133" s="82" t="e">
        <f>IF(W133&lt;1,NA(),VLOOKUP(W133,成長曲線_データ!$V$4:$AA$73,3,TRUE))</f>
        <v>#N/A</v>
      </c>
      <c r="AE133" s="82" t="e">
        <f>IF(W133&lt;=6.5,VLOOKUP(W133,頭囲データ!$C$10:$E$85,2,TRUE),NA())</f>
        <v>#N/A</v>
      </c>
      <c r="AF133" s="82" t="e">
        <f>IF(W133&lt;=6.5,VLOOKUP(W133,頭囲データ!$C$10:$E$85,3,TRUE),NA())</f>
        <v>#N/A</v>
      </c>
      <c r="AG133" s="89" t="str">
        <f>入力!F133&amp;"y"&amp;入力!G133&amp;"m"</f>
        <v>ym</v>
      </c>
      <c r="AH133" s="89" t="e">
        <f>IF(AND(入力!W133&gt;=1,入力!W133&lt;6,入力!B133&gt;=70,入力!B133&lt;=120),入力!B133,NA())</f>
        <v>#N/A</v>
      </c>
      <c r="AI133" s="89" t="e">
        <f>IF(AND(入力!W133&gt;=1,入力!W133&lt;6,入力!B133&gt;=70,入力!B133&lt;=120),入力!X133,NA())</f>
        <v>#N/A</v>
      </c>
      <c r="AJ133" s="89" t="e">
        <f>IF(AND(入力!W133&gt;=6,入力!B133&gt;=100,入力!B133&lt;=184),入力!B133,NA())</f>
        <v>#N/A</v>
      </c>
      <c r="AK133" s="89" t="e">
        <f>IF(AND(入力!W133&gt;=6,入力!B133&gt;=100,入力!B133&lt;=184),入力!X133,NA())</f>
        <v>#N/A</v>
      </c>
      <c r="AL133" s="82" t="e">
        <f t="shared" si="98"/>
        <v>#N/A</v>
      </c>
      <c r="AM133" s="82"/>
      <c r="AN133" s="80" t="e">
        <f t="shared" si="99"/>
        <v>#N/A</v>
      </c>
      <c r="AO133" s="80" t="e">
        <f t="shared" si="100"/>
        <v>#N/A</v>
      </c>
      <c r="AP133" s="81" t="e">
        <f t="shared" si="101"/>
        <v>#N/A</v>
      </c>
      <c r="AQ133" s="81" t="e">
        <f t="shared" si="102"/>
        <v>#VALUE!</v>
      </c>
      <c r="AR133" s="81" t="e">
        <f t="shared" si="103"/>
        <v>#N/A</v>
      </c>
      <c r="AS133" s="81" t="e">
        <f t="shared" si="104"/>
        <v>#N/A</v>
      </c>
      <c r="AT133" s="81" t="e">
        <f t="shared" si="105"/>
        <v>#N/A</v>
      </c>
      <c r="AU133" s="81" t="e">
        <f t="shared" si="106"/>
        <v>#N/A</v>
      </c>
      <c r="AV133" s="81" t="e">
        <f t="shared" si="107"/>
        <v>#N/A</v>
      </c>
      <c r="AW133" s="81" t="e">
        <f t="shared" si="108"/>
        <v>#N/A</v>
      </c>
      <c r="AX133" s="81" t="e">
        <f t="shared" si="109"/>
        <v>#N/A</v>
      </c>
      <c r="AY133" s="81" t="e">
        <f>VLOOKUP($W133,頭囲データ!$R$10:$W$11,3,TRUE)*$W133^3+VLOOKUP($W133,頭囲データ!$R$10:$W$11,4,TRUE)*$W133^2+VLOOKUP($W133,頭囲データ!$R$10:$W$11,5,TRUE)*$W133+VLOOKUP($W133,頭囲データ!$R$10:$W$11,6,TRUE)</f>
        <v>#N/A</v>
      </c>
      <c r="AZ133" s="81" t="e">
        <f>VLOOKUP($W133,頭囲データ!$R$12:$W$16,3,TRUE)*$W133^3+VLOOKUP($W133,頭囲データ!$R$12:$W$16,4,TRUE)*$W133^2+VLOOKUP($W133,頭囲データ!$R$12:$W$16,5,TRUE)*$W133+VLOOKUP($W133,頭囲データ!$R$12:$W$16,6,TRUE)</f>
        <v>#N/A</v>
      </c>
      <c r="BA133" s="81" t="e">
        <f>VLOOKUP($W133,頭囲データ!$R$17:$W$18,3,TRUE)*$W133^3+VLOOKUP($W133,頭囲データ!$R$17:$W$18,4,TRUE)*$W133^2+VLOOKUP($W133,頭囲データ!$R$17:$W$18,5,TRUE)*$W133+VLOOKUP($W133,頭囲データ!$R$17:$W$18,6,TRUE)</f>
        <v>#N/A</v>
      </c>
      <c r="BB133" s="81" t="e">
        <f t="shared" si="110"/>
        <v>#N/A</v>
      </c>
      <c r="BC133" s="81" t="e">
        <f>VLOOKUP($W133,胸囲データ!$R$10:$W$11,3,TRUE)*$W133^3+VLOOKUP($W133,胸囲データ!$R$10:$W$11,4,TRUE)*$W133^2+VLOOKUP($W133,胸囲データ!$R$10:$W$11,5,TRUE)*$W133+VLOOKUP($W133,胸囲データ!$R$10:$W$11,6,TRUE)</f>
        <v>#N/A</v>
      </c>
      <c r="BD133" s="81" t="e">
        <f>VLOOKUP($W133,胸囲データ!$R$12:$W$16,3,TRUE)*$W133^3+VLOOKUP($W133,胸囲データ!$R$12:$W$16,4,TRUE)*$W133^2+VLOOKUP($W133,胸囲データ!$R$12:$W$16,5,TRUE)*$W133+VLOOKUP($W133,胸囲データ!$R$12:$W$16,6,TRUE)</f>
        <v>#N/A</v>
      </c>
      <c r="BE133" s="81" t="e">
        <f>VLOOKUP($W133,胸囲データ!$R$17:$W$18,3,TRUE)*$W133^3+VLOOKUP($W133,胸囲データ!$R$17:$W$18,4,TRUE)*$W133^2+VLOOKUP($W133,胸囲データ!$R$17:$W$18,5,TRUE)*$W133+VLOOKUP($W133,胸囲データ!$R$17:$W$18,6,TRUE)</f>
        <v>#N/A</v>
      </c>
    </row>
    <row r="134" spans="1:57" x14ac:dyDescent="0.15">
      <c r="A134" s="35"/>
      <c r="B134" s="36"/>
      <c r="C134" s="36"/>
      <c r="D134" s="49"/>
      <c r="E134" s="76"/>
      <c r="F134" s="51" t="str">
        <f t="shared" si="86"/>
        <v/>
      </c>
      <c r="G134" s="37" t="str">
        <f t="shared" si="82"/>
        <v/>
      </c>
      <c r="H134" s="38" t="str">
        <f>IF(ISERROR(W134),"",VLOOKUP(W134,成長曲線_データ!$D$4:$AC$214,3,TRUE))</f>
        <v/>
      </c>
      <c r="I134" s="39" t="str">
        <f t="shared" si="88"/>
        <v/>
      </c>
      <c r="J134" s="39" t="str">
        <f t="shared" si="89"/>
        <v/>
      </c>
      <c r="K134" s="39" t="str">
        <f t="shared" si="90"/>
        <v/>
      </c>
      <c r="L134" s="39" t="str">
        <f t="shared" si="87"/>
        <v/>
      </c>
      <c r="M134" s="39" t="str">
        <f t="shared" si="83"/>
        <v/>
      </c>
      <c r="N134" s="39" t="str">
        <f t="shared" si="84"/>
        <v/>
      </c>
      <c r="O134" s="40" t="str">
        <f t="shared" si="91"/>
        <v/>
      </c>
      <c r="P134" s="40" t="str">
        <f t="shared" si="92"/>
        <v/>
      </c>
      <c r="Q134" s="39" t="str">
        <f t="shared" si="63"/>
        <v/>
      </c>
      <c r="R134" s="39" t="str">
        <f t="shared" si="93"/>
        <v/>
      </c>
      <c r="S134" s="39" t="str">
        <f t="shared" si="85"/>
        <v/>
      </c>
      <c r="T134" s="41" t="str">
        <f t="shared" si="94"/>
        <v/>
      </c>
      <c r="V134" s="90"/>
      <c r="W134" s="79" t="e">
        <f t="shared" si="95"/>
        <v>#N/A</v>
      </c>
      <c r="X134" s="79" t="e">
        <f t="shared" si="96"/>
        <v>#N/A</v>
      </c>
      <c r="Y134" s="80" t="e">
        <f>IF(W134="","",VLOOKUP(W134,成長曲線_データ!$D$4:$AC$214,4,TRUE))</f>
        <v>#N/A</v>
      </c>
      <c r="Z134" s="80" t="e">
        <f>IF(W134="","",VLOOKUP(W134,成長曲線_データ!$D$4:$AC$214,12,TRUE))</f>
        <v>#N/A</v>
      </c>
      <c r="AA134" s="81" t="e">
        <f>IF(W134="","",VLOOKUP(W134,成長曲線_データ!$D$4:$AC$214,13,TRUE))</f>
        <v>#N/A</v>
      </c>
      <c r="AB134" s="94" t="e">
        <f t="shared" si="97"/>
        <v>#N/A</v>
      </c>
      <c r="AC134" s="82" t="e">
        <f>IF(W134&lt;0.5,NA(),VLOOKUP((W134+1/8),成長曲線_データ!$V$4:$AA$73,2,TRUE))</f>
        <v>#N/A</v>
      </c>
      <c r="AD134" s="82" t="e">
        <f>IF(W134&lt;1,NA(),VLOOKUP(W134,成長曲線_データ!$V$4:$AA$73,3,TRUE))</f>
        <v>#N/A</v>
      </c>
      <c r="AE134" s="82" t="e">
        <f>IF(W134&lt;=6.5,VLOOKUP(W134,頭囲データ!$C$10:$E$85,2,TRUE),NA())</f>
        <v>#N/A</v>
      </c>
      <c r="AF134" s="82" t="e">
        <f>IF(W134&lt;=6.5,VLOOKUP(W134,頭囲データ!$C$10:$E$85,3,TRUE),NA())</f>
        <v>#N/A</v>
      </c>
      <c r="AG134" s="89" t="str">
        <f>入力!F134&amp;"y"&amp;入力!G134&amp;"m"</f>
        <v>ym</v>
      </c>
      <c r="AH134" s="89" t="e">
        <f>IF(AND(入力!W134&gt;=1,入力!W134&lt;6,入力!B134&gt;=70,入力!B134&lt;=120),入力!B134,NA())</f>
        <v>#N/A</v>
      </c>
      <c r="AI134" s="89" t="e">
        <f>IF(AND(入力!W134&gt;=1,入力!W134&lt;6,入力!B134&gt;=70,入力!B134&lt;=120),入力!X134,NA())</f>
        <v>#N/A</v>
      </c>
      <c r="AJ134" s="89" t="e">
        <f>IF(AND(入力!W134&gt;=6,入力!B134&gt;=100,入力!B134&lt;=184),入力!B134,NA())</f>
        <v>#N/A</v>
      </c>
      <c r="AK134" s="89" t="e">
        <f>IF(AND(入力!W134&gt;=6,入力!B134&gt;=100,入力!B134&lt;=184),入力!X134,NA())</f>
        <v>#N/A</v>
      </c>
      <c r="AL134" s="82" t="e">
        <f t="shared" si="98"/>
        <v>#N/A</v>
      </c>
      <c r="AM134" s="82"/>
      <c r="AN134" s="80" t="e">
        <f t="shared" si="99"/>
        <v>#N/A</v>
      </c>
      <c r="AO134" s="80" t="e">
        <f t="shared" si="100"/>
        <v>#N/A</v>
      </c>
      <c r="AP134" s="81" t="e">
        <f t="shared" si="101"/>
        <v>#N/A</v>
      </c>
      <c r="AQ134" s="81" t="e">
        <f t="shared" si="102"/>
        <v>#VALUE!</v>
      </c>
      <c r="AR134" s="81" t="e">
        <f t="shared" si="103"/>
        <v>#N/A</v>
      </c>
      <c r="AS134" s="81" t="e">
        <f t="shared" si="104"/>
        <v>#N/A</v>
      </c>
      <c r="AT134" s="81" t="e">
        <f t="shared" si="105"/>
        <v>#N/A</v>
      </c>
      <c r="AU134" s="81" t="e">
        <f t="shared" si="106"/>
        <v>#N/A</v>
      </c>
      <c r="AV134" s="81" t="e">
        <f t="shared" si="107"/>
        <v>#N/A</v>
      </c>
      <c r="AW134" s="81" t="e">
        <f t="shared" si="108"/>
        <v>#N/A</v>
      </c>
      <c r="AX134" s="81" t="e">
        <f t="shared" si="109"/>
        <v>#N/A</v>
      </c>
      <c r="AY134" s="81" t="e">
        <f>VLOOKUP($W134,頭囲データ!$R$10:$W$11,3,TRUE)*$W134^3+VLOOKUP($W134,頭囲データ!$R$10:$W$11,4,TRUE)*$W134^2+VLOOKUP($W134,頭囲データ!$R$10:$W$11,5,TRUE)*$W134+VLOOKUP($W134,頭囲データ!$R$10:$W$11,6,TRUE)</f>
        <v>#N/A</v>
      </c>
      <c r="AZ134" s="81" t="e">
        <f>VLOOKUP($W134,頭囲データ!$R$12:$W$16,3,TRUE)*$W134^3+VLOOKUP($W134,頭囲データ!$R$12:$W$16,4,TRUE)*$W134^2+VLOOKUP($W134,頭囲データ!$R$12:$W$16,5,TRUE)*$W134+VLOOKUP($W134,頭囲データ!$R$12:$W$16,6,TRUE)</f>
        <v>#N/A</v>
      </c>
      <c r="BA134" s="81" t="e">
        <f>VLOOKUP($W134,頭囲データ!$R$17:$W$18,3,TRUE)*$W134^3+VLOOKUP($W134,頭囲データ!$R$17:$W$18,4,TRUE)*$W134^2+VLOOKUP($W134,頭囲データ!$R$17:$W$18,5,TRUE)*$W134+VLOOKUP($W134,頭囲データ!$R$17:$W$18,6,TRUE)</f>
        <v>#N/A</v>
      </c>
      <c r="BB134" s="81" t="e">
        <f t="shared" si="110"/>
        <v>#N/A</v>
      </c>
      <c r="BC134" s="81" t="e">
        <f>VLOOKUP($W134,胸囲データ!$R$10:$W$11,3,TRUE)*$W134^3+VLOOKUP($W134,胸囲データ!$R$10:$W$11,4,TRUE)*$W134^2+VLOOKUP($W134,胸囲データ!$R$10:$W$11,5,TRUE)*$W134+VLOOKUP($W134,胸囲データ!$R$10:$W$11,6,TRUE)</f>
        <v>#N/A</v>
      </c>
      <c r="BD134" s="81" t="e">
        <f>VLOOKUP($W134,胸囲データ!$R$12:$W$16,3,TRUE)*$W134^3+VLOOKUP($W134,胸囲データ!$R$12:$W$16,4,TRUE)*$W134^2+VLOOKUP($W134,胸囲データ!$R$12:$W$16,5,TRUE)*$W134+VLOOKUP($W134,胸囲データ!$R$12:$W$16,6,TRUE)</f>
        <v>#N/A</v>
      </c>
      <c r="BE134" s="81" t="e">
        <f>VLOOKUP($W134,胸囲データ!$R$17:$W$18,3,TRUE)*$W134^3+VLOOKUP($W134,胸囲データ!$R$17:$W$18,4,TRUE)*$W134^2+VLOOKUP($W134,胸囲データ!$R$17:$W$18,5,TRUE)*$W134+VLOOKUP($W134,胸囲データ!$R$17:$W$18,6,TRUE)</f>
        <v>#N/A</v>
      </c>
    </row>
    <row r="135" spans="1:57" x14ac:dyDescent="0.15">
      <c r="A135" s="35"/>
      <c r="B135" s="36"/>
      <c r="C135" s="36"/>
      <c r="D135" s="49"/>
      <c r="E135" s="76"/>
      <c r="F135" s="51" t="str">
        <f t="shared" si="86"/>
        <v/>
      </c>
      <c r="G135" s="37" t="str">
        <f t="shared" si="82"/>
        <v/>
      </c>
      <c r="H135" s="38" t="str">
        <f>IF(ISERROR(W135),"",VLOOKUP(W135,成長曲線_データ!$D$4:$AC$214,3,TRUE))</f>
        <v/>
      </c>
      <c r="I135" s="39" t="str">
        <f t="shared" ref="I135:I156" si="111">IF(OR(ISERROR(Y135),B135=""),"",(B135-H135)/Y135)</f>
        <v/>
      </c>
      <c r="J135" s="39" t="str">
        <f t="shared" ref="J135:J156" si="112">IF(ISNA(AB135),"",(B135-B134)/(A135-A134)*365.25)</f>
        <v/>
      </c>
      <c r="K135" s="39" t="str">
        <f t="shared" ref="K135:K156" si="113">IF(OR(ISERROR(AD135),J135=""),"",(J135-AC135)/AD135)</f>
        <v/>
      </c>
      <c r="L135" s="39" t="str">
        <f t="shared" si="87"/>
        <v/>
      </c>
      <c r="M135" s="39" t="str">
        <f t="shared" si="83"/>
        <v/>
      </c>
      <c r="N135" s="39" t="str">
        <f t="shared" si="84"/>
        <v/>
      </c>
      <c r="O135" s="40" t="str">
        <f t="shared" ref="O135:O156" si="114">IF(AND(B135&gt;0,ISNUMBER(X135)),10000*X135/B135^2,"")</f>
        <v/>
      </c>
      <c r="P135" s="40" t="str">
        <f t="shared" ref="P135:P156" si="115">IF(OR(ISNA(W135),ISERROR($AQ135)),"",$AQ135)</f>
        <v/>
      </c>
      <c r="Q135" s="39" t="str">
        <f t="shared" ref="Q135:Q156" si="116">IF(ISNA($AN135),"",$AN135)</f>
        <v/>
      </c>
      <c r="R135" s="39" t="str">
        <f t="shared" ref="R135:R156" si="117">IF(OR(ISNA($X135),ISNA($AN135)),"",($X135-$Q135)/$Q135*100)</f>
        <v/>
      </c>
      <c r="S135" s="39" t="str">
        <f t="shared" si="85"/>
        <v/>
      </c>
      <c r="T135" s="41" t="str">
        <f t="shared" ref="T135:T156" si="118">IF(OR(ISNA($X135),ISNA($AO135)),"",($X135-$S135)/$S135*100)</f>
        <v/>
      </c>
      <c r="V135" s="90"/>
      <c r="W135" s="79" t="e">
        <f t="shared" ref="W135:W156" si="119">IF(AND($B$3&gt;0,$A135&gt;0,$A135-$B$3&gt;=0),($A135-$B$3)/365.25,NA())</f>
        <v>#N/A</v>
      </c>
      <c r="X135" s="79" t="e">
        <f t="shared" ref="X135:X156" si="120">IF(C135="",NA(),IF(C135&lt;300,C135,C135/1000))</f>
        <v>#N/A</v>
      </c>
      <c r="Y135" s="80" t="e">
        <f>IF(W135="","",VLOOKUP(W135,成長曲線_データ!$D$4:$AC$214,4,TRUE))</f>
        <v>#N/A</v>
      </c>
      <c r="Z135" s="80" t="e">
        <f>IF(W135="","",VLOOKUP(W135,成長曲線_データ!$D$4:$AC$214,12,TRUE))</f>
        <v>#N/A</v>
      </c>
      <c r="AA135" s="81" t="e">
        <f>IF(W135="","",VLOOKUP(W135,成長曲線_データ!$D$4:$AC$214,13,TRUE))</f>
        <v>#N/A</v>
      </c>
      <c r="AB135" s="94" t="e">
        <f t="shared" ref="AB135:AB156" si="121">IF(AND(A134&gt;0,A135&gt;0,B134&gt;0,B135&gt;0),AVERAGE($W135,$W134),NA())</f>
        <v>#N/A</v>
      </c>
      <c r="AC135" s="82" t="e">
        <f>IF(W135&lt;0.5,NA(),VLOOKUP((W135+1/8),成長曲線_データ!$V$4:$AA$73,2,TRUE))</f>
        <v>#N/A</v>
      </c>
      <c r="AD135" s="82" t="e">
        <f>IF(W135&lt;1,NA(),VLOOKUP(W135,成長曲線_データ!$V$4:$AA$73,3,TRUE))</f>
        <v>#N/A</v>
      </c>
      <c r="AE135" s="82" t="e">
        <f>IF(W135&lt;=6.5,VLOOKUP(W135,頭囲データ!$C$10:$E$85,2,TRUE),NA())</f>
        <v>#N/A</v>
      </c>
      <c r="AF135" s="82" t="e">
        <f>IF(W135&lt;=6.5,VLOOKUP(W135,頭囲データ!$C$10:$E$85,3,TRUE),NA())</f>
        <v>#N/A</v>
      </c>
      <c r="AG135" s="89" t="str">
        <f>入力!F135&amp;"y"&amp;入力!G135&amp;"m"</f>
        <v>ym</v>
      </c>
      <c r="AH135" s="89" t="e">
        <f>IF(AND(入力!W135&gt;=1,入力!W135&lt;6,入力!B135&gt;=70,入力!B135&lt;=120),入力!B135,NA())</f>
        <v>#N/A</v>
      </c>
      <c r="AI135" s="89" t="e">
        <f>IF(AND(入力!W135&gt;=1,入力!W135&lt;6,入力!B135&gt;=70,入力!B135&lt;=120),入力!X135,NA())</f>
        <v>#N/A</v>
      </c>
      <c r="AJ135" s="89" t="e">
        <f>IF(AND(入力!W135&gt;=6,入力!B135&gt;=100,入力!B135&lt;=184),入力!B135,NA())</f>
        <v>#N/A</v>
      </c>
      <c r="AK135" s="89" t="e">
        <f>IF(AND(入力!W135&gt;=6,入力!B135&gt;=100,入力!B135&lt;=184),入力!X135,NA())</f>
        <v>#N/A</v>
      </c>
      <c r="AL135" s="82" t="e">
        <f t="shared" ref="AL135:AL156" si="122">IF(W135&lt;=1,W135*12,NA())</f>
        <v>#N/A</v>
      </c>
      <c r="AM135" s="82"/>
      <c r="AN135" s="80" t="e">
        <f t="shared" ref="AN135:AN156" si="123">IF(OR($B135="",ISNA($W135)),NA(),IF(AND($W135&gt;=5,$W135&lt;18),INDEX(IF($B$2="男",muratamale,muratafemale),$F135-4,2)*$B135+INDEX(IF($B$2="男",muratamale,muratafemale),$F135-4,3),NA()))</f>
        <v>#N/A</v>
      </c>
      <c r="AO135" s="80" t="e">
        <f t="shared" ref="AO135:AO156" si="124">IF($W135&lt;6,IF(AND($B135&gt;=70,$B135&lt;120),2,NA()),IF($W135&lt;18,IF($B135&gt;=101,IF($B135&gt;=140,IF($B135&gt;=149,IF($B135&gt;171+IF($B$2="男",1,0)*13,NA(),5),4),3),NA()),NA()))+IF($B$2="男",0,1)*6</f>
        <v>#N/A</v>
      </c>
      <c r="AP135" s="81" t="e">
        <f t="shared" ref="AP135:AP156" si="125">INDEX(ito,$AO135,6)*$B135^3+INDEX(ito,$AO135,7)*$B135^2+INDEX(ito,$AO135,8)*$B135+INDEX(ito,$AO135,9)</f>
        <v>#N/A</v>
      </c>
      <c r="AQ135" s="81" t="e">
        <f t="shared" ref="AQ135:AQ156" si="126">(($O135/$AU135)^$AS135-1)/($AS135*$AW135)</f>
        <v>#VALUE!</v>
      </c>
      <c r="AR135" s="81" t="e">
        <f t="shared" ref="AR135:AR156" si="127">IF($W135*12&lt;150,IF($W135*12&lt;IF($B$2="男",78,69),2,3),4)+IF($B$2="男",0,4)</f>
        <v>#N/A</v>
      </c>
      <c r="AS135" s="81" t="e">
        <f t="shared" ref="AS135:AS156" si="128">INDEX(BMI_L,$AR135,3)*($W135*12)^3+INDEX(BMI_L,$AR135,4)*($W135*12)^2+INDEX(BMI_L,$AR135,5)*($W135*12)+INDEX(BMI_L,$AR135,6)</f>
        <v>#N/A</v>
      </c>
      <c r="AT135" s="81" t="e">
        <f t="shared" ref="AT135:AT156" si="129">IF($W135*12&lt;90,IF($W135*12&lt;26.75,IF($W135*12&lt;9.5,IF($W135*12&lt;2.5,2,3),4),5),6)+IF($B$2="男",0,6)+IF(AND($B$2&lt;&gt;"男",$W135*12&gt;=150),1,0)</f>
        <v>#N/A</v>
      </c>
      <c r="AU135" s="81" t="e">
        <f t="shared" ref="AU135:AU156" si="130">INDEX(BMI_M,$AT135,3)*($W135*12)^3+INDEX(BMI_M,$AT135,4)*($W135*12)^2+INDEX(BMI_M,$AT135,5)*($W135*12)+INDEX(BMI_M,$AT135,6)</f>
        <v>#N/A</v>
      </c>
      <c r="AV135" s="81" t="e">
        <f t="shared" ref="AV135:AV156" si="131">IF($W135*12&lt;90,2,3)+IF($B$2="男",0,3)</f>
        <v>#N/A</v>
      </c>
      <c r="AW135" s="81" t="e">
        <f t="shared" ref="AW135:AW156" si="132">INDEX(BMI_S,$AV135,3)*($W135*12)^3+INDEX(BMI_S,$AV135,4)*($W135*12)^2+INDEX(BMI_S,$AV135,5)*($W135*12)+INDEX(BMI_S,$AV135,6)</f>
        <v>#N/A</v>
      </c>
      <c r="AX135" s="81" t="e">
        <f t="shared" ref="AX135:AX156" si="133">IF(AND(W135&lt;6.5,D135&gt;0),(($D135/$AZ135)^$AY135-1)/($AY135*$BA135),NA())</f>
        <v>#N/A</v>
      </c>
      <c r="AY135" s="81" t="e">
        <f>VLOOKUP($W135,頭囲データ!$R$10:$W$11,3,TRUE)*$W135^3+VLOOKUP($W135,頭囲データ!$R$10:$W$11,4,TRUE)*$W135^2+VLOOKUP($W135,頭囲データ!$R$10:$W$11,5,TRUE)*$W135+VLOOKUP($W135,頭囲データ!$R$10:$W$11,6,TRUE)</f>
        <v>#N/A</v>
      </c>
      <c r="AZ135" s="81" t="e">
        <f>VLOOKUP($W135,頭囲データ!$R$12:$W$16,3,TRUE)*$W135^3+VLOOKUP($W135,頭囲データ!$R$12:$W$16,4,TRUE)*$W135^2+VLOOKUP($W135,頭囲データ!$R$12:$W$16,5,TRUE)*$W135+VLOOKUP($W135,頭囲データ!$R$12:$W$16,6,TRUE)</f>
        <v>#N/A</v>
      </c>
      <c r="BA135" s="81" t="e">
        <f>VLOOKUP($W135,頭囲データ!$R$17:$W$18,3,TRUE)*$W135^3+VLOOKUP($W135,頭囲データ!$R$17:$W$18,4,TRUE)*$W135^2+VLOOKUP($W135,頭囲データ!$R$17:$W$18,5,TRUE)*$W135+VLOOKUP($W135,頭囲データ!$R$17:$W$18,6,TRUE)</f>
        <v>#N/A</v>
      </c>
      <c r="BB135" s="81" t="e">
        <f t="shared" ref="BB135:BB156" si="134">IF(AND(W135&lt;6.5,E135&gt;0),(($E135/$BD135)^$BC135-1)/($BC135*$BE135),NA())</f>
        <v>#N/A</v>
      </c>
      <c r="BC135" s="81" t="e">
        <f>VLOOKUP($W135,胸囲データ!$R$10:$W$11,3,TRUE)*$W135^3+VLOOKUP($W135,胸囲データ!$R$10:$W$11,4,TRUE)*$W135^2+VLOOKUP($W135,胸囲データ!$R$10:$W$11,5,TRUE)*$W135+VLOOKUP($W135,胸囲データ!$R$10:$W$11,6,TRUE)</f>
        <v>#N/A</v>
      </c>
      <c r="BD135" s="81" t="e">
        <f>VLOOKUP($W135,胸囲データ!$R$12:$W$16,3,TRUE)*$W135^3+VLOOKUP($W135,胸囲データ!$R$12:$W$16,4,TRUE)*$W135^2+VLOOKUP($W135,胸囲データ!$R$12:$W$16,5,TRUE)*$W135+VLOOKUP($W135,胸囲データ!$R$12:$W$16,6,TRUE)</f>
        <v>#N/A</v>
      </c>
      <c r="BE135" s="81" t="e">
        <f>VLOOKUP($W135,胸囲データ!$R$17:$W$18,3,TRUE)*$W135^3+VLOOKUP($W135,胸囲データ!$R$17:$W$18,4,TRUE)*$W135^2+VLOOKUP($W135,胸囲データ!$R$17:$W$18,5,TRUE)*$W135+VLOOKUP($W135,胸囲データ!$R$17:$W$18,6,TRUE)</f>
        <v>#N/A</v>
      </c>
    </row>
    <row r="136" spans="1:57" x14ac:dyDescent="0.15">
      <c r="A136" s="35"/>
      <c r="B136" s="36"/>
      <c r="C136" s="36"/>
      <c r="D136" s="49"/>
      <c r="E136" s="76"/>
      <c r="F136" s="51" t="str">
        <f t="shared" si="86"/>
        <v/>
      </c>
      <c r="G136" s="37" t="str">
        <f t="shared" ref="G136:G156" si="135">IF(ISNA($W136),"",INT(($W136-INT($W136))*12))</f>
        <v/>
      </c>
      <c r="H136" s="38" t="str">
        <f>IF(ISERROR(W136),"",VLOOKUP(W136,成長曲線_データ!$D$4:$AC$214,3,TRUE))</f>
        <v/>
      </c>
      <c r="I136" s="39" t="str">
        <f t="shared" si="111"/>
        <v/>
      </c>
      <c r="J136" s="39" t="str">
        <f t="shared" si="112"/>
        <v/>
      </c>
      <c r="K136" s="39" t="str">
        <f t="shared" si="113"/>
        <v/>
      </c>
      <c r="L136" s="39" t="str">
        <f t="shared" si="87"/>
        <v/>
      </c>
      <c r="M136" s="39" t="str">
        <f t="shared" ref="M136:M156" si="136">IF(OR(D136="",ISNA(AE136)),"",(D136-AE136)/AF136)</f>
        <v/>
      </c>
      <c r="N136" s="39" t="str">
        <f t="shared" ref="N136:N156" si="137">IF(ISERROR($BB136),"",$BB136)</f>
        <v/>
      </c>
      <c r="O136" s="40" t="str">
        <f t="shared" si="114"/>
        <v/>
      </c>
      <c r="P136" s="40" t="str">
        <f t="shared" si="115"/>
        <v/>
      </c>
      <c r="Q136" s="39" t="str">
        <f t="shared" si="116"/>
        <v/>
      </c>
      <c r="R136" s="39" t="str">
        <f t="shared" si="117"/>
        <v/>
      </c>
      <c r="S136" s="39" t="str">
        <f t="shared" ref="S136:S156" si="138">IF(ISNA($AP136),"",$AP136)</f>
        <v/>
      </c>
      <c r="T136" s="41" t="str">
        <f t="shared" si="118"/>
        <v/>
      </c>
      <c r="V136" s="90"/>
      <c r="W136" s="79" t="e">
        <f t="shared" si="119"/>
        <v>#N/A</v>
      </c>
      <c r="X136" s="79" t="e">
        <f t="shared" si="120"/>
        <v>#N/A</v>
      </c>
      <c r="Y136" s="80" t="e">
        <f>IF(W136="","",VLOOKUP(W136,成長曲線_データ!$D$4:$AC$214,4,TRUE))</f>
        <v>#N/A</v>
      </c>
      <c r="Z136" s="80" t="e">
        <f>IF(W136="","",VLOOKUP(W136,成長曲線_データ!$D$4:$AC$214,12,TRUE))</f>
        <v>#N/A</v>
      </c>
      <c r="AA136" s="81" t="e">
        <f>IF(W136="","",VLOOKUP(W136,成長曲線_データ!$D$4:$AC$214,13,TRUE))</f>
        <v>#N/A</v>
      </c>
      <c r="AB136" s="94" t="e">
        <f t="shared" si="121"/>
        <v>#N/A</v>
      </c>
      <c r="AC136" s="82" t="e">
        <f>IF(W136&lt;0.5,NA(),VLOOKUP((W136+1/8),成長曲線_データ!$V$4:$AA$73,2,TRUE))</f>
        <v>#N/A</v>
      </c>
      <c r="AD136" s="82" t="e">
        <f>IF(W136&lt;1,NA(),VLOOKUP(W136,成長曲線_データ!$V$4:$AA$73,3,TRUE))</f>
        <v>#N/A</v>
      </c>
      <c r="AE136" s="82" t="e">
        <f>IF(W136&lt;=6.5,VLOOKUP(W136,頭囲データ!$C$10:$E$85,2,TRUE),NA())</f>
        <v>#N/A</v>
      </c>
      <c r="AF136" s="82" t="e">
        <f>IF(W136&lt;=6.5,VLOOKUP(W136,頭囲データ!$C$10:$E$85,3,TRUE),NA())</f>
        <v>#N/A</v>
      </c>
      <c r="AG136" s="89" t="str">
        <f>入力!F136&amp;"y"&amp;入力!G136&amp;"m"</f>
        <v>ym</v>
      </c>
      <c r="AH136" s="89" t="e">
        <f>IF(AND(入力!W136&gt;=1,入力!W136&lt;6,入力!B136&gt;=70,入力!B136&lt;=120),入力!B136,NA())</f>
        <v>#N/A</v>
      </c>
      <c r="AI136" s="89" t="e">
        <f>IF(AND(入力!W136&gt;=1,入力!W136&lt;6,入力!B136&gt;=70,入力!B136&lt;=120),入力!X136,NA())</f>
        <v>#N/A</v>
      </c>
      <c r="AJ136" s="89" t="e">
        <f>IF(AND(入力!W136&gt;=6,入力!B136&gt;=100,入力!B136&lt;=184),入力!B136,NA())</f>
        <v>#N/A</v>
      </c>
      <c r="AK136" s="89" t="e">
        <f>IF(AND(入力!W136&gt;=6,入力!B136&gt;=100,入力!B136&lt;=184),入力!X136,NA())</f>
        <v>#N/A</v>
      </c>
      <c r="AL136" s="82" t="e">
        <f t="shared" si="122"/>
        <v>#N/A</v>
      </c>
      <c r="AM136" s="82"/>
      <c r="AN136" s="80" t="e">
        <f t="shared" si="123"/>
        <v>#N/A</v>
      </c>
      <c r="AO136" s="80" t="e">
        <f t="shared" si="124"/>
        <v>#N/A</v>
      </c>
      <c r="AP136" s="81" t="e">
        <f t="shared" si="125"/>
        <v>#N/A</v>
      </c>
      <c r="AQ136" s="81" t="e">
        <f t="shared" si="126"/>
        <v>#VALUE!</v>
      </c>
      <c r="AR136" s="81" t="e">
        <f t="shared" si="127"/>
        <v>#N/A</v>
      </c>
      <c r="AS136" s="81" t="e">
        <f t="shared" si="128"/>
        <v>#N/A</v>
      </c>
      <c r="AT136" s="81" t="e">
        <f t="shared" si="129"/>
        <v>#N/A</v>
      </c>
      <c r="AU136" s="81" t="e">
        <f t="shared" si="130"/>
        <v>#N/A</v>
      </c>
      <c r="AV136" s="81" t="e">
        <f t="shared" si="131"/>
        <v>#N/A</v>
      </c>
      <c r="AW136" s="81" t="e">
        <f t="shared" si="132"/>
        <v>#N/A</v>
      </c>
      <c r="AX136" s="81" t="e">
        <f t="shared" si="133"/>
        <v>#N/A</v>
      </c>
      <c r="AY136" s="81" t="e">
        <f>VLOOKUP($W136,頭囲データ!$R$10:$W$11,3,TRUE)*$W136^3+VLOOKUP($W136,頭囲データ!$R$10:$W$11,4,TRUE)*$W136^2+VLOOKUP($W136,頭囲データ!$R$10:$W$11,5,TRUE)*$W136+VLOOKUP($W136,頭囲データ!$R$10:$W$11,6,TRUE)</f>
        <v>#N/A</v>
      </c>
      <c r="AZ136" s="81" t="e">
        <f>VLOOKUP($W136,頭囲データ!$R$12:$W$16,3,TRUE)*$W136^3+VLOOKUP($W136,頭囲データ!$R$12:$W$16,4,TRUE)*$W136^2+VLOOKUP($W136,頭囲データ!$R$12:$W$16,5,TRUE)*$W136+VLOOKUP($W136,頭囲データ!$R$12:$W$16,6,TRUE)</f>
        <v>#N/A</v>
      </c>
      <c r="BA136" s="81" t="e">
        <f>VLOOKUP($W136,頭囲データ!$R$17:$W$18,3,TRUE)*$W136^3+VLOOKUP($W136,頭囲データ!$R$17:$W$18,4,TRUE)*$W136^2+VLOOKUP($W136,頭囲データ!$R$17:$W$18,5,TRUE)*$W136+VLOOKUP($W136,頭囲データ!$R$17:$W$18,6,TRUE)</f>
        <v>#N/A</v>
      </c>
      <c r="BB136" s="81" t="e">
        <f t="shared" si="134"/>
        <v>#N/A</v>
      </c>
      <c r="BC136" s="81" t="e">
        <f>VLOOKUP($W136,胸囲データ!$R$10:$W$11,3,TRUE)*$W136^3+VLOOKUP($W136,胸囲データ!$R$10:$W$11,4,TRUE)*$W136^2+VLOOKUP($W136,胸囲データ!$R$10:$W$11,5,TRUE)*$W136+VLOOKUP($W136,胸囲データ!$R$10:$W$11,6,TRUE)</f>
        <v>#N/A</v>
      </c>
      <c r="BD136" s="81" t="e">
        <f>VLOOKUP($W136,胸囲データ!$R$12:$W$16,3,TRUE)*$W136^3+VLOOKUP($W136,胸囲データ!$R$12:$W$16,4,TRUE)*$W136^2+VLOOKUP($W136,胸囲データ!$R$12:$W$16,5,TRUE)*$W136+VLOOKUP($W136,胸囲データ!$R$12:$W$16,6,TRUE)</f>
        <v>#N/A</v>
      </c>
      <c r="BE136" s="81" t="e">
        <f>VLOOKUP($W136,胸囲データ!$R$17:$W$18,3,TRUE)*$W136^3+VLOOKUP($W136,胸囲データ!$R$17:$W$18,4,TRUE)*$W136^2+VLOOKUP($W136,胸囲データ!$R$17:$W$18,5,TRUE)*$W136+VLOOKUP($W136,胸囲データ!$R$17:$W$18,6,TRUE)</f>
        <v>#N/A</v>
      </c>
    </row>
    <row r="137" spans="1:57" x14ac:dyDescent="0.15">
      <c r="A137" s="35"/>
      <c r="B137" s="36"/>
      <c r="C137" s="36"/>
      <c r="D137" s="49"/>
      <c r="E137" s="76"/>
      <c r="F137" s="51" t="str">
        <f t="shared" si="86"/>
        <v/>
      </c>
      <c r="G137" s="37" t="str">
        <f t="shared" si="135"/>
        <v/>
      </c>
      <c r="H137" s="38" t="str">
        <f>IF(ISERROR(W137),"",VLOOKUP(W137,成長曲線_データ!$D$4:$AC$214,3,TRUE))</f>
        <v/>
      </c>
      <c r="I137" s="39" t="str">
        <f t="shared" si="111"/>
        <v/>
      </c>
      <c r="J137" s="39" t="str">
        <f t="shared" si="112"/>
        <v/>
      </c>
      <c r="K137" s="39" t="str">
        <f t="shared" si="113"/>
        <v/>
      </c>
      <c r="L137" s="39" t="str">
        <f t="shared" si="87"/>
        <v/>
      </c>
      <c r="M137" s="39" t="str">
        <f t="shared" si="136"/>
        <v/>
      </c>
      <c r="N137" s="39" t="str">
        <f t="shared" si="137"/>
        <v/>
      </c>
      <c r="O137" s="40" t="str">
        <f t="shared" si="114"/>
        <v/>
      </c>
      <c r="P137" s="40" t="str">
        <f t="shared" si="115"/>
        <v/>
      </c>
      <c r="Q137" s="39" t="str">
        <f t="shared" si="116"/>
        <v/>
      </c>
      <c r="R137" s="39" t="str">
        <f t="shared" si="117"/>
        <v/>
      </c>
      <c r="S137" s="39" t="str">
        <f t="shared" si="138"/>
        <v/>
      </c>
      <c r="T137" s="41" t="str">
        <f t="shared" si="118"/>
        <v/>
      </c>
      <c r="V137" s="90"/>
      <c r="W137" s="79" t="e">
        <f t="shared" si="119"/>
        <v>#N/A</v>
      </c>
      <c r="X137" s="79" t="e">
        <f t="shared" si="120"/>
        <v>#N/A</v>
      </c>
      <c r="Y137" s="80" t="e">
        <f>IF(W137="","",VLOOKUP(W137,成長曲線_データ!$D$4:$AC$214,4,TRUE))</f>
        <v>#N/A</v>
      </c>
      <c r="Z137" s="80" t="e">
        <f>IF(W137="","",VLOOKUP(W137,成長曲線_データ!$D$4:$AC$214,12,TRUE))</f>
        <v>#N/A</v>
      </c>
      <c r="AA137" s="81" t="e">
        <f>IF(W137="","",VLOOKUP(W137,成長曲線_データ!$D$4:$AC$214,13,TRUE))</f>
        <v>#N/A</v>
      </c>
      <c r="AB137" s="94" t="e">
        <f t="shared" si="121"/>
        <v>#N/A</v>
      </c>
      <c r="AC137" s="82" t="e">
        <f>IF(W137&lt;0.5,NA(),VLOOKUP((W137+1/8),成長曲線_データ!$V$4:$AA$73,2,TRUE))</f>
        <v>#N/A</v>
      </c>
      <c r="AD137" s="82" t="e">
        <f>IF(W137&lt;1,NA(),VLOOKUP(W137,成長曲線_データ!$V$4:$AA$73,3,TRUE))</f>
        <v>#N/A</v>
      </c>
      <c r="AE137" s="82" t="e">
        <f>IF(W137&lt;=6.5,VLOOKUP(W137,頭囲データ!$C$10:$E$85,2,TRUE),NA())</f>
        <v>#N/A</v>
      </c>
      <c r="AF137" s="82" t="e">
        <f>IF(W137&lt;=6.5,VLOOKUP(W137,頭囲データ!$C$10:$E$85,3,TRUE),NA())</f>
        <v>#N/A</v>
      </c>
      <c r="AG137" s="89" t="str">
        <f>入力!F137&amp;"y"&amp;入力!G137&amp;"m"</f>
        <v>ym</v>
      </c>
      <c r="AH137" s="89" t="e">
        <f>IF(AND(入力!W137&gt;=1,入力!W137&lt;6,入力!B137&gt;=70,入力!B137&lt;=120),入力!B137,NA())</f>
        <v>#N/A</v>
      </c>
      <c r="AI137" s="89" t="e">
        <f>IF(AND(入力!W137&gt;=1,入力!W137&lt;6,入力!B137&gt;=70,入力!B137&lt;=120),入力!X137,NA())</f>
        <v>#N/A</v>
      </c>
      <c r="AJ137" s="89" t="e">
        <f>IF(AND(入力!W137&gt;=6,入力!B137&gt;=100,入力!B137&lt;=184),入力!B137,NA())</f>
        <v>#N/A</v>
      </c>
      <c r="AK137" s="89" t="e">
        <f>IF(AND(入力!W137&gt;=6,入力!B137&gt;=100,入力!B137&lt;=184),入力!X137,NA())</f>
        <v>#N/A</v>
      </c>
      <c r="AL137" s="82" t="e">
        <f t="shared" si="122"/>
        <v>#N/A</v>
      </c>
      <c r="AM137" s="82"/>
      <c r="AN137" s="80" t="e">
        <f t="shared" si="123"/>
        <v>#N/A</v>
      </c>
      <c r="AO137" s="80" t="e">
        <f t="shared" si="124"/>
        <v>#N/A</v>
      </c>
      <c r="AP137" s="81" t="e">
        <f t="shared" si="125"/>
        <v>#N/A</v>
      </c>
      <c r="AQ137" s="81" t="e">
        <f t="shared" si="126"/>
        <v>#VALUE!</v>
      </c>
      <c r="AR137" s="81" t="e">
        <f t="shared" si="127"/>
        <v>#N/A</v>
      </c>
      <c r="AS137" s="81" t="e">
        <f t="shared" si="128"/>
        <v>#N/A</v>
      </c>
      <c r="AT137" s="81" t="e">
        <f t="shared" si="129"/>
        <v>#N/A</v>
      </c>
      <c r="AU137" s="81" t="e">
        <f t="shared" si="130"/>
        <v>#N/A</v>
      </c>
      <c r="AV137" s="81" t="e">
        <f t="shared" si="131"/>
        <v>#N/A</v>
      </c>
      <c r="AW137" s="81" t="e">
        <f t="shared" si="132"/>
        <v>#N/A</v>
      </c>
      <c r="AX137" s="81" t="e">
        <f t="shared" si="133"/>
        <v>#N/A</v>
      </c>
      <c r="AY137" s="81" t="e">
        <f>VLOOKUP($W137,頭囲データ!$R$10:$W$11,3,TRUE)*$W137^3+VLOOKUP($W137,頭囲データ!$R$10:$W$11,4,TRUE)*$W137^2+VLOOKUP($W137,頭囲データ!$R$10:$W$11,5,TRUE)*$W137+VLOOKUP($W137,頭囲データ!$R$10:$W$11,6,TRUE)</f>
        <v>#N/A</v>
      </c>
      <c r="AZ137" s="81" t="e">
        <f>VLOOKUP($W137,頭囲データ!$R$12:$W$16,3,TRUE)*$W137^3+VLOOKUP($W137,頭囲データ!$R$12:$W$16,4,TRUE)*$W137^2+VLOOKUP($W137,頭囲データ!$R$12:$W$16,5,TRUE)*$W137+VLOOKUP($W137,頭囲データ!$R$12:$W$16,6,TRUE)</f>
        <v>#N/A</v>
      </c>
      <c r="BA137" s="81" t="e">
        <f>VLOOKUP($W137,頭囲データ!$R$17:$W$18,3,TRUE)*$W137^3+VLOOKUP($W137,頭囲データ!$R$17:$W$18,4,TRUE)*$W137^2+VLOOKUP($W137,頭囲データ!$R$17:$W$18,5,TRUE)*$W137+VLOOKUP($W137,頭囲データ!$R$17:$W$18,6,TRUE)</f>
        <v>#N/A</v>
      </c>
      <c r="BB137" s="81" t="e">
        <f t="shared" si="134"/>
        <v>#N/A</v>
      </c>
      <c r="BC137" s="81" t="e">
        <f>VLOOKUP($W137,胸囲データ!$R$10:$W$11,3,TRUE)*$W137^3+VLOOKUP($W137,胸囲データ!$R$10:$W$11,4,TRUE)*$W137^2+VLOOKUP($W137,胸囲データ!$R$10:$W$11,5,TRUE)*$W137+VLOOKUP($W137,胸囲データ!$R$10:$W$11,6,TRUE)</f>
        <v>#N/A</v>
      </c>
      <c r="BD137" s="81" t="e">
        <f>VLOOKUP($W137,胸囲データ!$R$12:$W$16,3,TRUE)*$W137^3+VLOOKUP($W137,胸囲データ!$R$12:$W$16,4,TRUE)*$W137^2+VLOOKUP($W137,胸囲データ!$R$12:$W$16,5,TRUE)*$W137+VLOOKUP($W137,胸囲データ!$R$12:$W$16,6,TRUE)</f>
        <v>#N/A</v>
      </c>
      <c r="BE137" s="81" t="e">
        <f>VLOOKUP($W137,胸囲データ!$R$17:$W$18,3,TRUE)*$W137^3+VLOOKUP($W137,胸囲データ!$R$17:$W$18,4,TRUE)*$W137^2+VLOOKUP($W137,胸囲データ!$R$17:$W$18,5,TRUE)*$W137+VLOOKUP($W137,胸囲データ!$R$17:$W$18,6,TRUE)</f>
        <v>#N/A</v>
      </c>
    </row>
    <row r="138" spans="1:57" x14ac:dyDescent="0.15">
      <c r="A138" s="35"/>
      <c r="B138" s="36"/>
      <c r="C138" s="36"/>
      <c r="D138" s="49"/>
      <c r="E138" s="76"/>
      <c r="F138" s="51" t="str">
        <f t="shared" ref="F138:F156" si="139">IF(ISNA(W138),"",INT(W138))</f>
        <v/>
      </c>
      <c r="G138" s="37" t="str">
        <f t="shared" si="135"/>
        <v/>
      </c>
      <c r="H138" s="38" t="str">
        <f>IF(ISERROR(W138),"",VLOOKUP(W138,成長曲線_データ!$D$4:$AC$214,3,TRUE))</f>
        <v/>
      </c>
      <c r="I138" s="39" t="str">
        <f t="shared" si="111"/>
        <v/>
      </c>
      <c r="J138" s="39" t="str">
        <f t="shared" si="112"/>
        <v/>
      </c>
      <c r="K138" s="39" t="str">
        <f t="shared" si="113"/>
        <v/>
      </c>
      <c r="L138" s="39" t="str">
        <f t="shared" si="87"/>
        <v/>
      </c>
      <c r="M138" s="39" t="str">
        <f t="shared" si="136"/>
        <v/>
      </c>
      <c r="N138" s="39" t="str">
        <f t="shared" si="137"/>
        <v/>
      </c>
      <c r="O138" s="40" t="str">
        <f t="shared" si="114"/>
        <v/>
      </c>
      <c r="P138" s="40" t="str">
        <f t="shared" si="115"/>
        <v/>
      </c>
      <c r="Q138" s="39" t="str">
        <f t="shared" si="116"/>
        <v/>
      </c>
      <c r="R138" s="39" t="str">
        <f t="shared" si="117"/>
        <v/>
      </c>
      <c r="S138" s="39" t="str">
        <f t="shared" si="138"/>
        <v/>
      </c>
      <c r="T138" s="41" t="str">
        <f t="shared" si="118"/>
        <v/>
      </c>
      <c r="V138" s="90"/>
      <c r="W138" s="79" t="e">
        <f t="shared" si="119"/>
        <v>#N/A</v>
      </c>
      <c r="X138" s="79" t="e">
        <f t="shared" si="120"/>
        <v>#N/A</v>
      </c>
      <c r="Y138" s="80" t="e">
        <f>IF(W138="","",VLOOKUP(W138,成長曲線_データ!$D$4:$AC$214,4,TRUE))</f>
        <v>#N/A</v>
      </c>
      <c r="Z138" s="80" t="e">
        <f>IF(W138="","",VLOOKUP(W138,成長曲線_データ!$D$4:$AC$214,12,TRUE))</f>
        <v>#N/A</v>
      </c>
      <c r="AA138" s="81" t="e">
        <f>IF(W138="","",VLOOKUP(W138,成長曲線_データ!$D$4:$AC$214,13,TRUE))</f>
        <v>#N/A</v>
      </c>
      <c r="AB138" s="94" t="e">
        <f t="shared" si="121"/>
        <v>#N/A</v>
      </c>
      <c r="AC138" s="82" t="e">
        <f>IF(W138&lt;0.5,NA(),VLOOKUP((W138+1/8),成長曲線_データ!$V$4:$AA$73,2,TRUE))</f>
        <v>#N/A</v>
      </c>
      <c r="AD138" s="82" t="e">
        <f>IF(W138&lt;1,NA(),VLOOKUP(W138,成長曲線_データ!$V$4:$AA$73,3,TRUE))</f>
        <v>#N/A</v>
      </c>
      <c r="AE138" s="82" t="e">
        <f>IF(W138&lt;=6.5,VLOOKUP(W138,頭囲データ!$C$10:$E$85,2,TRUE),NA())</f>
        <v>#N/A</v>
      </c>
      <c r="AF138" s="82" t="e">
        <f>IF(W138&lt;=6.5,VLOOKUP(W138,頭囲データ!$C$10:$E$85,3,TRUE),NA())</f>
        <v>#N/A</v>
      </c>
      <c r="AG138" s="89" t="str">
        <f>入力!F138&amp;"y"&amp;入力!G138&amp;"m"</f>
        <v>ym</v>
      </c>
      <c r="AH138" s="89" t="e">
        <f>IF(AND(入力!W138&gt;=1,入力!W138&lt;6,入力!B138&gt;=70,入力!B138&lt;=120),入力!B138,NA())</f>
        <v>#N/A</v>
      </c>
      <c r="AI138" s="89" t="e">
        <f>IF(AND(入力!W138&gt;=1,入力!W138&lt;6,入力!B138&gt;=70,入力!B138&lt;=120),入力!X138,NA())</f>
        <v>#N/A</v>
      </c>
      <c r="AJ138" s="89" t="e">
        <f>IF(AND(入力!W138&gt;=6,入力!B138&gt;=100,入力!B138&lt;=184),入力!B138,NA())</f>
        <v>#N/A</v>
      </c>
      <c r="AK138" s="89" t="e">
        <f>IF(AND(入力!W138&gt;=6,入力!B138&gt;=100,入力!B138&lt;=184),入力!X138,NA())</f>
        <v>#N/A</v>
      </c>
      <c r="AL138" s="82" t="e">
        <f t="shared" si="122"/>
        <v>#N/A</v>
      </c>
      <c r="AM138" s="82"/>
      <c r="AN138" s="80" t="e">
        <f t="shared" si="123"/>
        <v>#N/A</v>
      </c>
      <c r="AO138" s="80" t="e">
        <f t="shared" si="124"/>
        <v>#N/A</v>
      </c>
      <c r="AP138" s="81" t="e">
        <f t="shared" si="125"/>
        <v>#N/A</v>
      </c>
      <c r="AQ138" s="81" t="e">
        <f t="shared" si="126"/>
        <v>#VALUE!</v>
      </c>
      <c r="AR138" s="81" t="e">
        <f t="shared" si="127"/>
        <v>#N/A</v>
      </c>
      <c r="AS138" s="81" t="e">
        <f t="shared" si="128"/>
        <v>#N/A</v>
      </c>
      <c r="AT138" s="81" t="e">
        <f t="shared" si="129"/>
        <v>#N/A</v>
      </c>
      <c r="AU138" s="81" t="e">
        <f t="shared" si="130"/>
        <v>#N/A</v>
      </c>
      <c r="AV138" s="81" t="e">
        <f t="shared" si="131"/>
        <v>#N/A</v>
      </c>
      <c r="AW138" s="81" t="e">
        <f t="shared" si="132"/>
        <v>#N/A</v>
      </c>
      <c r="AX138" s="81" t="e">
        <f t="shared" si="133"/>
        <v>#N/A</v>
      </c>
      <c r="AY138" s="81" t="e">
        <f>VLOOKUP($W138,頭囲データ!$R$10:$W$11,3,TRUE)*$W138^3+VLOOKUP($W138,頭囲データ!$R$10:$W$11,4,TRUE)*$W138^2+VLOOKUP($W138,頭囲データ!$R$10:$W$11,5,TRUE)*$W138+VLOOKUP($W138,頭囲データ!$R$10:$W$11,6,TRUE)</f>
        <v>#N/A</v>
      </c>
      <c r="AZ138" s="81" t="e">
        <f>VLOOKUP($W138,頭囲データ!$R$12:$W$16,3,TRUE)*$W138^3+VLOOKUP($W138,頭囲データ!$R$12:$W$16,4,TRUE)*$W138^2+VLOOKUP($W138,頭囲データ!$R$12:$W$16,5,TRUE)*$W138+VLOOKUP($W138,頭囲データ!$R$12:$W$16,6,TRUE)</f>
        <v>#N/A</v>
      </c>
      <c r="BA138" s="81" t="e">
        <f>VLOOKUP($W138,頭囲データ!$R$17:$W$18,3,TRUE)*$W138^3+VLOOKUP($W138,頭囲データ!$R$17:$W$18,4,TRUE)*$W138^2+VLOOKUP($W138,頭囲データ!$R$17:$W$18,5,TRUE)*$W138+VLOOKUP($W138,頭囲データ!$R$17:$W$18,6,TRUE)</f>
        <v>#N/A</v>
      </c>
      <c r="BB138" s="81" t="e">
        <f t="shared" si="134"/>
        <v>#N/A</v>
      </c>
      <c r="BC138" s="81" t="e">
        <f>VLOOKUP($W138,胸囲データ!$R$10:$W$11,3,TRUE)*$W138^3+VLOOKUP($W138,胸囲データ!$R$10:$W$11,4,TRUE)*$W138^2+VLOOKUP($W138,胸囲データ!$R$10:$W$11,5,TRUE)*$W138+VLOOKUP($W138,胸囲データ!$R$10:$W$11,6,TRUE)</f>
        <v>#N/A</v>
      </c>
      <c r="BD138" s="81" t="e">
        <f>VLOOKUP($W138,胸囲データ!$R$12:$W$16,3,TRUE)*$W138^3+VLOOKUP($W138,胸囲データ!$R$12:$W$16,4,TRUE)*$W138^2+VLOOKUP($W138,胸囲データ!$R$12:$W$16,5,TRUE)*$W138+VLOOKUP($W138,胸囲データ!$R$12:$W$16,6,TRUE)</f>
        <v>#N/A</v>
      </c>
      <c r="BE138" s="81" t="e">
        <f>VLOOKUP($W138,胸囲データ!$R$17:$W$18,3,TRUE)*$W138^3+VLOOKUP($W138,胸囲データ!$R$17:$W$18,4,TRUE)*$W138^2+VLOOKUP($W138,胸囲データ!$R$17:$W$18,5,TRUE)*$W138+VLOOKUP($W138,胸囲データ!$R$17:$W$18,6,TRUE)</f>
        <v>#N/A</v>
      </c>
    </row>
    <row r="139" spans="1:57" x14ac:dyDescent="0.15">
      <c r="A139" s="35"/>
      <c r="B139" s="36"/>
      <c r="C139" s="36"/>
      <c r="D139" s="49"/>
      <c r="E139" s="76"/>
      <c r="F139" s="51" t="str">
        <f t="shared" si="139"/>
        <v/>
      </c>
      <c r="G139" s="37" t="str">
        <f t="shared" si="135"/>
        <v/>
      </c>
      <c r="H139" s="38" t="str">
        <f>IF(ISERROR(W139),"",VLOOKUP(W139,成長曲線_データ!$D$4:$AC$214,3,TRUE))</f>
        <v/>
      </c>
      <c r="I139" s="39" t="str">
        <f t="shared" si="111"/>
        <v/>
      </c>
      <c r="J139" s="39" t="str">
        <f t="shared" si="112"/>
        <v/>
      </c>
      <c r="K139" s="39" t="str">
        <f t="shared" si="113"/>
        <v/>
      </c>
      <c r="L139" s="39" t="str">
        <f t="shared" si="87"/>
        <v/>
      </c>
      <c r="M139" s="39" t="str">
        <f t="shared" si="136"/>
        <v/>
      </c>
      <c r="N139" s="39" t="str">
        <f t="shared" si="137"/>
        <v/>
      </c>
      <c r="O139" s="40" t="str">
        <f t="shared" si="114"/>
        <v/>
      </c>
      <c r="P139" s="40" t="str">
        <f t="shared" si="115"/>
        <v/>
      </c>
      <c r="Q139" s="39" t="str">
        <f t="shared" si="116"/>
        <v/>
      </c>
      <c r="R139" s="39" t="str">
        <f t="shared" si="117"/>
        <v/>
      </c>
      <c r="S139" s="39" t="str">
        <f t="shared" si="138"/>
        <v/>
      </c>
      <c r="T139" s="41" t="str">
        <f t="shared" si="118"/>
        <v/>
      </c>
      <c r="V139" s="90"/>
      <c r="W139" s="79" t="e">
        <f t="shared" si="119"/>
        <v>#N/A</v>
      </c>
      <c r="X139" s="79" t="e">
        <f t="shared" si="120"/>
        <v>#N/A</v>
      </c>
      <c r="Y139" s="80" t="e">
        <f>IF(W139="","",VLOOKUP(W139,成長曲線_データ!$D$4:$AC$214,4,TRUE))</f>
        <v>#N/A</v>
      </c>
      <c r="Z139" s="80" t="e">
        <f>IF(W139="","",VLOOKUP(W139,成長曲線_データ!$D$4:$AC$214,12,TRUE))</f>
        <v>#N/A</v>
      </c>
      <c r="AA139" s="81" t="e">
        <f>IF(W139="","",VLOOKUP(W139,成長曲線_データ!$D$4:$AC$214,13,TRUE))</f>
        <v>#N/A</v>
      </c>
      <c r="AB139" s="94" t="e">
        <f t="shared" si="121"/>
        <v>#N/A</v>
      </c>
      <c r="AC139" s="82" t="e">
        <f>IF(W139&lt;0.5,NA(),VLOOKUP((W139+1/8),成長曲線_データ!$V$4:$AA$73,2,TRUE))</f>
        <v>#N/A</v>
      </c>
      <c r="AD139" s="82" t="e">
        <f>IF(W139&lt;1,NA(),VLOOKUP(W139,成長曲線_データ!$V$4:$AA$73,3,TRUE))</f>
        <v>#N/A</v>
      </c>
      <c r="AE139" s="82" t="e">
        <f>IF(W139&lt;=6.5,VLOOKUP(W139,頭囲データ!$C$10:$E$85,2,TRUE),NA())</f>
        <v>#N/A</v>
      </c>
      <c r="AF139" s="82" t="e">
        <f>IF(W139&lt;=6.5,VLOOKUP(W139,頭囲データ!$C$10:$E$85,3,TRUE),NA())</f>
        <v>#N/A</v>
      </c>
      <c r="AG139" s="89" t="str">
        <f>入力!F139&amp;"y"&amp;入力!G139&amp;"m"</f>
        <v>ym</v>
      </c>
      <c r="AH139" s="89" t="e">
        <f>IF(AND(入力!W139&gt;=1,入力!W139&lt;6,入力!B139&gt;=70,入力!B139&lt;=120),入力!B139,NA())</f>
        <v>#N/A</v>
      </c>
      <c r="AI139" s="89" t="e">
        <f>IF(AND(入力!W139&gt;=1,入力!W139&lt;6,入力!B139&gt;=70,入力!B139&lt;=120),入力!X139,NA())</f>
        <v>#N/A</v>
      </c>
      <c r="AJ139" s="89" t="e">
        <f>IF(AND(入力!W139&gt;=6,入力!B139&gt;=100,入力!B139&lt;=184),入力!B139,NA())</f>
        <v>#N/A</v>
      </c>
      <c r="AK139" s="89" t="e">
        <f>IF(AND(入力!W139&gt;=6,入力!B139&gt;=100,入力!B139&lt;=184),入力!X139,NA())</f>
        <v>#N/A</v>
      </c>
      <c r="AL139" s="82" t="e">
        <f t="shared" si="122"/>
        <v>#N/A</v>
      </c>
      <c r="AM139" s="82"/>
      <c r="AN139" s="80" t="e">
        <f t="shared" si="123"/>
        <v>#N/A</v>
      </c>
      <c r="AO139" s="80" t="e">
        <f t="shared" si="124"/>
        <v>#N/A</v>
      </c>
      <c r="AP139" s="81" t="e">
        <f t="shared" si="125"/>
        <v>#N/A</v>
      </c>
      <c r="AQ139" s="81" t="e">
        <f t="shared" si="126"/>
        <v>#VALUE!</v>
      </c>
      <c r="AR139" s="81" t="e">
        <f t="shared" si="127"/>
        <v>#N/A</v>
      </c>
      <c r="AS139" s="81" t="e">
        <f t="shared" si="128"/>
        <v>#N/A</v>
      </c>
      <c r="AT139" s="81" t="e">
        <f t="shared" si="129"/>
        <v>#N/A</v>
      </c>
      <c r="AU139" s="81" t="e">
        <f t="shared" si="130"/>
        <v>#N/A</v>
      </c>
      <c r="AV139" s="81" t="e">
        <f t="shared" si="131"/>
        <v>#N/A</v>
      </c>
      <c r="AW139" s="81" t="e">
        <f t="shared" si="132"/>
        <v>#N/A</v>
      </c>
      <c r="AX139" s="81" t="e">
        <f t="shared" si="133"/>
        <v>#N/A</v>
      </c>
      <c r="AY139" s="81" t="e">
        <f>VLOOKUP($W139,頭囲データ!$R$10:$W$11,3,TRUE)*$W139^3+VLOOKUP($W139,頭囲データ!$R$10:$W$11,4,TRUE)*$W139^2+VLOOKUP($W139,頭囲データ!$R$10:$W$11,5,TRUE)*$W139+VLOOKUP($W139,頭囲データ!$R$10:$W$11,6,TRUE)</f>
        <v>#N/A</v>
      </c>
      <c r="AZ139" s="81" t="e">
        <f>VLOOKUP($W139,頭囲データ!$R$12:$W$16,3,TRUE)*$W139^3+VLOOKUP($W139,頭囲データ!$R$12:$W$16,4,TRUE)*$W139^2+VLOOKUP($W139,頭囲データ!$R$12:$W$16,5,TRUE)*$W139+VLOOKUP($W139,頭囲データ!$R$12:$W$16,6,TRUE)</f>
        <v>#N/A</v>
      </c>
      <c r="BA139" s="81" t="e">
        <f>VLOOKUP($W139,頭囲データ!$R$17:$W$18,3,TRUE)*$W139^3+VLOOKUP($W139,頭囲データ!$R$17:$W$18,4,TRUE)*$W139^2+VLOOKUP($W139,頭囲データ!$R$17:$W$18,5,TRUE)*$W139+VLOOKUP($W139,頭囲データ!$R$17:$W$18,6,TRUE)</f>
        <v>#N/A</v>
      </c>
      <c r="BB139" s="81" t="e">
        <f t="shared" si="134"/>
        <v>#N/A</v>
      </c>
      <c r="BC139" s="81" t="e">
        <f>VLOOKUP($W139,胸囲データ!$R$10:$W$11,3,TRUE)*$W139^3+VLOOKUP($W139,胸囲データ!$R$10:$W$11,4,TRUE)*$W139^2+VLOOKUP($W139,胸囲データ!$R$10:$W$11,5,TRUE)*$W139+VLOOKUP($W139,胸囲データ!$R$10:$W$11,6,TRUE)</f>
        <v>#N/A</v>
      </c>
      <c r="BD139" s="81" t="e">
        <f>VLOOKUP($W139,胸囲データ!$R$12:$W$16,3,TRUE)*$W139^3+VLOOKUP($W139,胸囲データ!$R$12:$W$16,4,TRUE)*$W139^2+VLOOKUP($W139,胸囲データ!$R$12:$W$16,5,TRUE)*$W139+VLOOKUP($W139,胸囲データ!$R$12:$W$16,6,TRUE)</f>
        <v>#N/A</v>
      </c>
      <c r="BE139" s="81" t="e">
        <f>VLOOKUP($W139,胸囲データ!$R$17:$W$18,3,TRUE)*$W139^3+VLOOKUP($W139,胸囲データ!$R$17:$W$18,4,TRUE)*$W139^2+VLOOKUP($W139,胸囲データ!$R$17:$W$18,5,TRUE)*$W139+VLOOKUP($W139,胸囲データ!$R$17:$W$18,6,TRUE)</f>
        <v>#N/A</v>
      </c>
    </row>
    <row r="140" spans="1:57" x14ac:dyDescent="0.15">
      <c r="A140" s="35"/>
      <c r="B140" s="36"/>
      <c r="C140" s="36"/>
      <c r="D140" s="49"/>
      <c r="E140" s="76"/>
      <c r="F140" s="51" t="str">
        <f t="shared" si="139"/>
        <v/>
      </c>
      <c r="G140" s="37" t="str">
        <f t="shared" si="135"/>
        <v/>
      </c>
      <c r="H140" s="38" t="str">
        <f>IF(ISERROR(W140),"",VLOOKUP(W140,成長曲線_データ!$D$4:$AC$214,3,TRUE))</f>
        <v/>
      </c>
      <c r="I140" s="39" t="str">
        <f t="shared" si="111"/>
        <v/>
      </c>
      <c r="J140" s="39" t="str">
        <f t="shared" si="112"/>
        <v/>
      </c>
      <c r="K140" s="39" t="str">
        <f t="shared" si="113"/>
        <v/>
      </c>
      <c r="L140" s="39" t="str">
        <f t="shared" si="87"/>
        <v/>
      </c>
      <c r="M140" s="39" t="str">
        <f t="shared" si="136"/>
        <v/>
      </c>
      <c r="N140" s="39" t="str">
        <f t="shared" si="137"/>
        <v/>
      </c>
      <c r="O140" s="40" t="str">
        <f t="shared" si="114"/>
        <v/>
      </c>
      <c r="P140" s="40" t="str">
        <f t="shared" si="115"/>
        <v/>
      </c>
      <c r="Q140" s="39" t="str">
        <f t="shared" si="116"/>
        <v/>
      </c>
      <c r="R140" s="39" t="str">
        <f t="shared" si="117"/>
        <v/>
      </c>
      <c r="S140" s="39" t="str">
        <f t="shared" si="138"/>
        <v/>
      </c>
      <c r="T140" s="41" t="str">
        <f t="shared" si="118"/>
        <v/>
      </c>
      <c r="V140" s="90"/>
      <c r="W140" s="79" t="e">
        <f t="shared" si="119"/>
        <v>#N/A</v>
      </c>
      <c r="X140" s="79" t="e">
        <f t="shared" si="120"/>
        <v>#N/A</v>
      </c>
      <c r="Y140" s="80" t="e">
        <f>IF(W140="","",VLOOKUP(W140,成長曲線_データ!$D$4:$AC$214,4,TRUE))</f>
        <v>#N/A</v>
      </c>
      <c r="Z140" s="80" t="e">
        <f>IF(W140="","",VLOOKUP(W140,成長曲線_データ!$D$4:$AC$214,12,TRUE))</f>
        <v>#N/A</v>
      </c>
      <c r="AA140" s="81" t="e">
        <f>IF(W140="","",VLOOKUP(W140,成長曲線_データ!$D$4:$AC$214,13,TRUE))</f>
        <v>#N/A</v>
      </c>
      <c r="AB140" s="94" t="e">
        <f t="shared" si="121"/>
        <v>#N/A</v>
      </c>
      <c r="AC140" s="82" t="e">
        <f>IF(W140&lt;0.5,NA(),VLOOKUP((W140+1/8),成長曲線_データ!$V$4:$AA$73,2,TRUE))</f>
        <v>#N/A</v>
      </c>
      <c r="AD140" s="82" t="e">
        <f>IF(W140&lt;1,NA(),VLOOKUP(W140,成長曲線_データ!$V$4:$AA$73,3,TRUE))</f>
        <v>#N/A</v>
      </c>
      <c r="AE140" s="82" t="e">
        <f>IF(W140&lt;=6.5,VLOOKUP(W140,頭囲データ!$C$10:$E$85,2,TRUE),NA())</f>
        <v>#N/A</v>
      </c>
      <c r="AF140" s="82" t="e">
        <f>IF(W140&lt;=6.5,VLOOKUP(W140,頭囲データ!$C$10:$E$85,3,TRUE),NA())</f>
        <v>#N/A</v>
      </c>
      <c r="AG140" s="89" t="str">
        <f>入力!F140&amp;"y"&amp;入力!G140&amp;"m"</f>
        <v>ym</v>
      </c>
      <c r="AH140" s="89" t="e">
        <f>IF(AND(入力!W140&gt;=1,入力!W140&lt;6,入力!B140&gt;=70,入力!B140&lt;=120),入力!B140,NA())</f>
        <v>#N/A</v>
      </c>
      <c r="AI140" s="89" t="e">
        <f>IF(AND(入力!W140&gt;=1,入力!W140&lt;6,入力!B140&gt;=70,入力!B140&lt;=120),入力!X140,NA())</f>
        <v>#N/A</v>
      </c>
      <c r="AJ140" s="89" t="e">
        <f>IF(AND(入力!W140&gt;=6,入力!B140&gt;=100,入力!B140&lt;=184),入力!B140,NA())</f>
        <v>#N/A</v>
      </c>
      <c r="AK140" s="89" t="e">
        <f>IF(AND(入力!W140&gt;=6,入力!B140&gt;=100,入力!B140&lt;=184),入力!X140,NA())</f>
        <v>#N/A</v>
      </c>
      <c r="AL140" s="82" t="e">
        <f t="shared" si="122"/>
        <v>#N/A</v>
      </c>
      <c r="AM140" s="82"/>
      <c r="AN140" s="80" t="e">
        <f t="shared" si="123"/>
        <v>#N/A</v>
      </c>
      <c r="AO140" s="80" t="e">
        <f t="shared" si="124"/>
        <v>#N/A</v>
      </c>
      <c r="AP140" s="81" t="e">
        <f t="shared" si="125"/>
        <v>#N/A</v>
      </c>
      <c r="AQ140" s="81" t="e">
        <f t="shared" si="126"/>
        <v>#VALUE!</v>
      </c>
      <c r="AR140" s="81" t="e">
        <f t="shared" si="127"/>
        <v>#N/A</v>
      </c>
      <c r="AS140" s="81" t="e">
        <f t="shared" si="128"/>
        <v>#N/A</v>
      </c>
      <c r="AT140" s="81" t="e">
        <f t="shared" si="129"/>
        <v>#N/A</v>
      </c>
      <c r="AU140" s="81" t="e">
        <f t="shared" si="130"/>
        <v>#N/A</v>
      </c>
      <c r="AV140" s="81" t="e">
        <f t="shared" si="131"/>
        <v>#N/A</v>
      </c>
      <c r="AW140" s="81" t="e">
        <f t="shared" si="132"/>
        <v>#N/A</v>
      </c>
      <c r="AX140" s="81" t="e">
        <f t="shared" si="133"/>
        <v>#N/A</v>
      </c>
      <c r="AY140" s="81" t="e">
        <f>VLOOKUP($W140,頭囲データ!$R$10:$W$11,3,TRUE)*$W140^3+VLOOKUP($W140,頭囲データ!$R$10:$W$11,4,TRUE)*$W140^2+VLOOKUP($W140,頭囲データ!$R$10:$W$11,5,TRUE)*$W140+VLOOKUP($W140,頭囲データ!$R$10:$W$11,6,TRUE)</f>
        <v>#N/A</v>
      </c>
      <c r="AZ140" s="81" t="e">
        <f>VLOOKUP($W140,頭囲データ!$R$12:$W$16,3,TRUE)*$W140^3+VLOOKUP($W140,頭囲データ!$R$12:$W$16,4,TRUE)*$W140^2+VLOOKUP($W140,頭囲データ!$R$12:$W$16,5,TRUE)*$W140+VLOOKUP($W140,頭囲データ!$R$12:$W$16,6,TRUE)</f>
        <v>#N/A</v>
      </c>
      <c r="BA140" s="81" t="e">
        <f>VLOOKUP($W140,頭囲データ!$R$17:$W$18,3,TRUE)*$W140^3+VLOOKUP($W140,頭囲データ!$R$17:$W$18,4,TRUE)*$W140^2+VLOOKUP($W140,頭囲データ!$R$17:$W$18,5,TRUE)*$W140+VLOOKUP($W140,頭囲データ!$R$17:$W$18,6,TRUE)</f>
        <v>#N/A</v>
      </c>
      <c r="BB140" s="81" t="e">
        <f t="shared" si="134"/>
        <v>#N/A</v>
      </c>
      <c r="BC140" s="81" t="e">
        <f>VLOOKUP($W140,胸囲データ!$R$10:$W$11,3,TRUE)*$W140^3+VLOOKUP($W140,胸囲データ!$R$10:$W$11,4,TRUE)*$W140^2+VLOOKUP($W140,胸囲データ!$R$10:$W$11,5,TRUE)*$W140+VLOOKUP($W140,胸囲データ!$R$10:$W$11,6,TRUE)</f>
        <v>#N/A</v>
      </c>
      <c r="BD140" s="81" t="e">
        <f>VLOOKUP($W140,胸囲データ!$R$12:$W$16,3,TRUE)*$W140^3+VLOOKUP($W140,胸囲データ!$R$12:$W$16,4,TRUE)*$W140^2+VLOOKUP($W140,胸囲データ!$R$12:$W$16,5,TRUE)*$W140+VLOOKUP($W140,胸囲データ!$R$12:$W$16,6,TRUE)</f>
        <v>#N/A</v>
      </c>
      <c r="BE140" s="81" t="e">
        <f>VLOOKUP($W140,胸囲データ!$R$17:$W$18,3,TRUE)*$W140^3+VLOOKUP($W140,胸囲データ!$R$17:$W$18,4,TRUE)*$W140^2+VLOOKUP($W140,胸囲データ!$R$17:$W$18,5,TRUE)*$W140+VLOOKUP($W140,胸囲データ!$R$17:$W$18,6,TRUE)</f>
        <v>#N/A</v>
      </c>
    </row>
    <row r="141" spans="1:57" x14ac:dyDescent="0.15">
      <c r="A141" s="35"/>
      <c r="B141" s="36"/>
      <c r="C141" s="36"/>
      <c r="D141" s="49"/>
      <c r="E141" s="76"/>
      <c r="F141" s="51" t="str">
        <f t="shared" si="139"/>
        <v/>
      </c>
      <c r="G141" s="37" t="str">
        <f t="shared" si="135"/>
        <v/>
      </c>
      <c r="H141" s="38" t="str">
        <f>IF(ISERROR(W141),"",VLOOKUP(W141,成長曲線_データ!$D$4:$AC$214,3,TRUE))</f>
        <v/>
      </c>
      <c r="I141" s="39" t="str">
        <f t="shared" si="111"/>
        <v/>
      </c>
      <c r="J141" s="39" t="str">
        <f t="shared" si="112"/>
        <v/>
      </c>
      <c r="K141" s="39" t="str">
        <f t="shared" si="113"/>
        <v/>
      </c>
      <c r="L141" s="39" t="str">
        <f t="shared" si="87"/>
        <v/>
      </c>
      <c r="M141" s="39" t="str">
        <f t="shared" si="136"/>
        <v/>
      </c>
      <c r="N141" s="39" t="str">
        <f t="shared" si="137"/>
        <v/>
      </c>
      <c r="O141" s="40" t="str">
        <f t="shared" si="114"/>
        <v/>
      </c>
      <c r="P141" s="40" t="str">
        <f t="shared" si="115"/>
        <v/>
      </c>
      <c r="Q141" s="39" t="str">
        <f t="shared" si="116"/>
        <v/>
      </c>
      <c r="R141" s="39" t="str">
        <f t="shared" si="117"/>
        <v/>
      </c>
      <c r="S141" s="39" t="str">
        <f t="shared" si="138"/>
        <v/>
      </c>
      <c r="T141" s="41" t="str">
        <f t="shared" si="118"/>
        <v/>
      </c>
      <c r="V141" s="90"/>
      <c r="W141" s="79" t="e">
        <f t="shared" si="119"/>
        <v>#N/A</v>
      </c>
      <c r="X141" s="79" t="e">
        <f t="shared" si="120"/>
        <v>#N/A</v>
      </c>
      <c r="Y141" s="80" t="e">
        <f>IF(W141="","",VLOOKUP(W141,成長曲線_データ!$D$4:$AC$214,4,TRUE))</f>
        <v>#N/A</v>
      </c>
      <c r="Z141" s="80" t="e">
        <f>IF(W141="","",VLOOKUP(W141,成長曲線_データ!$D$4:$AC$214,12,TRUE))</f>
        <v>#N/A</v>
      </c>
      <c r="AA141" s="81" t="e">
        <f>IF(W141="","",VLOOKUP(W141,成長曲線_データ!$D$4:$AC$214,13,TRUE))</f>
        <v>#N/A</v>
      </c>
      <c r="AB141" s="94" t="e">
        <f t="shared" si="121"/>
        <v>#N/A</v>
      </c>
      <c r="AC141" s="82" t="e">
        <f>IF(W141&lt;0.5,NA(),VLOOKUP((W141+1/8),成長曲線_データ!$V$4:$AA$73,2,TRUE))</f>
        <v>#N/A</v>
      </c>
      <c r="AD141" s="82" t="e">
        <f>IF(W141&lt;1,NA(),VLOOKUP(W141,成長曲線_データ!$V$4:$AA$73,3,TRUE))</f>
        <v>#N/A</v>
      </c>
      <c r="AE141" s="82" t="e">
        <f>IF(W141&lt;=6.5,VLOOKUP(W141,頭囲データ!$C$10:$E$85,2,TRUE),NA())</f>
        <v>#N/A</v>
      </c>
      <c r="AF141" s="82" t="e">
        <f>IF(W141&lt;=6.5,VLOOKUP(W141,頭囲データ!$C$10:$E$85,3,TRUE),NA())</f>
        <v>#N/A</v>
      </c>
      <c r="AG141" s="89" t="str">
        <f>入力!F141&amp;"y"&amp;入力!G141&amp;"m"</f>
        <v>ym</v>
      </c>
      <c r="AH141" s="89" t="e">
        <f>IF(AND(入力!W141&gt;=1,入力!W141&lt;6,入力!B141&gt;=70,入力!B141&lt;=120),入力!B141,NA())</f>
        <v>#N/A</v>
      </c>
      <c r="AI141" s="89" t="e">
        <f>IF(AND(入力!W141&gt;=1,入力!W141&lt;6,入力!B141&gt;=70,入力!B141&lt;=120),入力!X141,NA())</f>
        <v>#N/A</v>
      </c>
      <c r="AJ141" s="89" t="e">
        <f>IF(AND(入力!W141&gt;=6,入力!B141&gt;=100,入力!B141&lt;=184),入力!B141,NA())</f>
        <v>#N/A</v>
      </c>
      <c r="AK141" s="89" t="e">
        <f>IF(AND(入力!W141&gt;=6,入力!B141&gt;=100,入力!B141&lt;=184),入力!X141,NA())</f>
        <v>#N/A</v>
      </c>
      <c r="AL141" s="82" t="e">
        <f t="shared" si="122"/>
        <v>#N/A</v>
      </c>
      <c r="AM141" s="82"/>
      <c r="AN141" s="80" t="e">
        <f t="shared" si="123"/>
        <v>#N/A</v>
      </c>
      <c r="AO141" s="80" t="e">
        <f t="shared" si="124"/>
        <v>#N/A</v>
      </c>
      <c r="AP141" s="81" t="e">
        <f t="shared" si="125"/>
        <v>#N/A</v>
      </c>
      <c r="AQ141" s="81" t="e">
        <f t="shared" si="126"/>
        <v>#VALUE!</v>
      </c>
      <c r="AR141" s="81" t="e">
        <f t="shared" si="127"/>
        <v>#N/A</v>
      </c>
      <c r="AS141" s="81" t="e">
        <f t="shared" si="128"/>
        <v>#N/A</v>
      </c>
      <c r="AT141" s="81" t="e">
        <f t="shared" si="129"/>
        <v>#N/A</v>
      </c>
      <c r="AU141" s="81" t="e">
        <f t="shared" si="130"/>
        <v>#N/A</v>
      </c>
      <c r="AV141" s="81" t="e">
        <f t="shared" si="131"/>
        <v>#N/A</v>
      </c>
      <c r="AW141" s="81" t="e">
        <f t="shared" si="132"/>
        <v>#N/A</v>
      </c>
      <c r="AX141" s="81" t="e">
        <f t="shared" si="133"/>
        <v>#N/A</v>
      </c>
      <c r="AY141" s="81" t="e">
        <f>VLOOKUP($W141,頭囲データ!$R$10:$W$11,3,TRUE)*$W141^3+VLOOKUP($W141,頭囲データ!$R$10:$W$11,4,TRUE)*$W141^2+VLOOKUP($W141,頭囲データ!$R$10:$W$11,5,TRUE)*$W141+VLOOKUP($W141,頭囲データ!$R$10:$W$11,6,TRUE)</f>
        <v>#N/A</v>
      </c>
      <c r="AZ141" s="81" t="e">
        <f>VLOOKUP($W141,頭囲データ!$R$12:$W$16,3,TRUE)*$W141^3+VLOOKUP($W141,頭囲データ!$R$12:$W$16,4,TRUE)*$W141^2+VLOOKUP($W141,頭囲データ!$R$12:$W$16,5,TRUE)*$W141+VLOOKUP($W141,頭囲データ!$R$12:$W$16,6,TRUE)</f>
        <v>#N/A</v>
      </c>
      <c r="BA141" s="81" t="e">
        <f>VLOOKUP($W141,頭囲データ!$R$17:$W$18,3,TRUE)*$W141^3+VLOOKUP($W141,頭囲データ!$R$17:$W$18,4,TRUE)*$W141^2+VLOOKUP($W141,頭囲データ!$R$17:$W$18,5,TRUE)*$W141+VLOOKUP($W141,頭囲データ!$R$17:$W$18,6,TRUE)</f>
        <v>#N/A</v>
      </c>
      <c r="BB141" s="81" t="e">
        <f t="shared" si="134"/>
        <v>#N/A</v>
      </c>
      <c r="BC141" s="81" t="e">
        <f>VLOOKUP($W141,胸囲データ!$R$10:$W$11,3,TRUE)*$W141^3+VLOOKUP($W141,胸囲データ!$R$10:$W$11,4,TRUE)*$W141^2+VLOOKUP($W141,胸囲データ!$R$10:$W$11,5,TRUE)*$W141+VLOOKUP($W141,胸囲データ!$R$10:$W$11,6,TRUE)</f>
        <v>#N/A</v>
      </c>
      <c r="BD141" s="81" t="e">
        <f>VLOOKUP($W141,胸囲データ!$R$12:$W$16,3,TRUE)*$W141^3+VLOOKUP($W141,胸囲データ!$R$12:$W$16,4,TRUE)*$W141^2+VLOOKUP($W141,胸囲データ!$R$12:$W$16,5,TRUE)*$W141+VLOOKUP($W141,胸囲データ!$R$12:$W$16,6,TRUE)</f>
        <v>#N/A</v>
      </c>
      <c r="BE141" s="81" t="e">
        <f>VLOOKUP($W141,胸囲データ!$R$17:$W$18,3,TRUE)*$W141^3+VLOOKUP($W141,胸囲データ!$R$17:$W$18,4,TRUE)*$W141^2+VLOOKUP($W141,胸囲データ!$R$17:$W$18,5,TRUE)*$W141+VLOOKUP($W141,胸囲データ!$R$17:$W$18,6,TRUE)</f>
        <v>#N/A</v>
      </c>
    </row>
    <row r="142" spans="1:57" x14ac:dyDescent="0.15">
      <c r="A142" s="35"/>
      <c r="B142" s="36"/>
      <c r="C142" s="36"/>
      <c r="D142" s="49"/>
      <c r="E142" s="76"/>
      <c r="F142" s="51" t="str">
        <f t="shared" si="139"/>
        <v/>
      </c>
      <c r="G142" s="37" t="str">
        <f t="shared" si="135"/>
        <v/>
      </c>
      <c r="H142" s="38" t="str">
        <f>IF(ISERROR(W142),"",VLOOKUP(W142,成長曲線_データ!$D$4:$AC$214,3,TRUE))</f>
        <v/>
      </c>
      <c r="I142" s="39" t="str">
        <f t="shared" si="111"/>
        <v/>
      </c>
      <c r="J142" s="39" t="str">
        <f t="shared" si="112"/>
        <v/>
      </c>
      <c r="K142" s="39" t="str">
        <f t="shared" si="113"/>
        <v/>
      </c>
      <c r="L142" s="39" t="str">
        <f t="shared" si="87"/>
        <v/>
      </c>
      <c r="M142" s="39" t="str">
        <f t="shared" si="136"/>
        <v/>
      </c>
      <c r="N142" s="39" t="str">
        <f t="shared" si="137"/>
        <v/>
      </c>
      <c r="O142" s="40" t="str">
        <f t="shared" si="114"/>
        <v/>
      </c>
      <c r="P142" s="40" t="str">
        <f t="shared" si="115"/>
        <v/>
      </c>
      <c r="Q142" s="39" t="str">
        <f t="shared" si="116"/>
        <v/>
      </c>
      <c r="R142" s="39" t="str">
        <f t="shared" si="117"/>
        <v/>
      </c>
      <c r="S142" s="39" t="str">
        <f t="shared" si="138"/>
        <v/>
      </c>
      <c r="T142" s="41" t="str">
        <f t="shared" si="118"/>
        <v/>
      </c>
      <c r="V142" s="90"/>
      <c r="W142" s="79" t="e">
        <f t="shared" si="119"/>
        <v>#N/A</v>
      </c>
      <c r="X142" s="79" t="e">
        <f t="shared" si="120"/>
        <v>#N/A</v>
      </c>
      <c r="Y142" s="80" t="e">
        <f>IF(W142="","",VLOOKUP(W142,成長曲線_データ!$D$4:$AC$214,4,TRUE))</f>
        <v>#N/A</v>
      </c>
      <c r="Z142" s="80" t="e">
        <f>IF(W142="","",VLOOKUP(W142,成長曲線_データ!$D$4:$AC$214,12,TRUE))</f>
        <v>#N/A</v>
      </c>
      <c r="AA142" s="81" t="e">
        <f>IF(W142="","",VLOOKUP(W142,成長曲線_データ!$D$4:$AC$214,13,TRUE))</f>
        <v>#N/A</v>
      </c>
      <c r="AB142" s="94" t="e">
        <f t="shared" si="121"/>
        <v>#N/A</v>
      </c>
      <c r="AC142" s="82" t="e">
        <f>IF(W142&lt;0.5,NA(),VLOOKUP((W142+1/8),成長曲線_データ!$V$4:$AA$73,2,TRUE))</f>
        <v>#N/A</v>
      </c>
      <c r="AD142" s="82" t="e">
        <f>IF(W142&lt;1,NA(),VLOOKUP(W142,成長曲線_データ!$V$4:$AA$73,3,TRUE))</f>
        <v>#N/A</v>
      </c>
      <c r="AE142" s="82" t="e">
        <f>IF(W142&lt;=6.5,VLOOKUP(W142,頭囲データ!$C$10:$E$85,2,TRUE),NA())</f>
        <v>#N/A</v>
      </c>
      <c r="AF142" s="82" t="e">
        <f>IF(W142&lt;=6.5,VLOOKUP(W142,頭囲データ!$C$10:$E$85,3,TRUE),NA())</f>
        <v>#N/A</v>
      </c>
      <c r="AG142" s="89" t="str">
        <f>入力!F142&amp;"y"&amp;入力!G142&amp;"m"</f>
        <v>ym</v>
      </c>
      <c r="AH142" s="89" t="e">
        <f>IF(AND(入力!W142&gt;=1,入力!W142&lt;6,入力!B142&gt;=70,入力!B142&lt;=120),入力!B142,NA())</f>
        <v>#N/A</v>
      </c>
      <c r="AI142" s="89" t="e">
        <f>IF(AND(入力!W142&gt;=1,入力!W142&lt;6,入力!B142&gt;=70,入力!B142&lt;=120),入力!X142,NA())</f>
        <v>#N/A</v>
      </c>
      <c r="AJ142" s="89" t="e">
        <f>IF(AND(入力!W142&gt;=6,入力!B142&gt;=100,入力!B142&lt;=184),入力!B142,NA())</f>
        <v>#N/A</v>
      </c>
      <c r="AK142" s="89" t="e">
        <f>IF(AND(入力!W142&gt;=6,入力!B142&gt;=100,入力!B142&lt;=184),入力!X142,NA())</f>
        <v>#N/A</v>
      </c>
      <c r="AL142" s="82" t="e">
        <f t="shared" si="122"/>
        <v>#N/A</v>
      </c>
      <c r="AM142" s="82"/>
      <c r="AN142" s="80" t="e">
        <f t="shared" si="123"/>
        <v>#N/A</v>
      </c>
      <c r="AO142" s="80" t="e">
        <f t="shared" si="124"/>
        <v>#N/A</v>
      </c>
      <c r="AP142" s="81" t="e">
        <f t="shared" si="125"/>
        <v>#N/A</v>
      </c>
      <c r="AQ142" s="81" t="e">
        <f t="shared" si="126"/>
        <v>#VALUE!</v>
      </c>
      <c r="AR142" s="81" t="e">
        <f t="shared" si="127"/>
        <v>#N/A</v>
      </c>
      <c r="AS142" s="81" t="e">
        <f t="shared" si="128"/>
        <v>#N/A</v>
      </c>
      <c r="AT142" s="81" t="e">
        <f t="shared" si="129"/>
        <v>#N/A</v>
      </c>
      <c r="AU142" s="81" t="e">
        <f t="shared" si="130"/>
        <v>#N/A</v>
      </c>
      <c r="AV142" s="81" t="e">
        <f t="shared" si="131"/>
        <v>#N/A</v>
      </c>
      <c r="AW142" s="81" t="e">
        <f t="shared" si="132"/>
        <v>#N/A</v>
      </c>
      <c r="AX142" s="81" t="e">
        <f t="shared" si="133"/>
        <v>#N/A</v>
      </c>
      <c r="AY142" s="81" t="e">
        <f>VLOOKUP($W142,頭囲データ!$R$10:$W$11,3,TRUE)*$W142^3+VLOOKUP($W142,頭囲データ!$R$10:$W$11,4,TRUE)*$W142^2+VLOOKUP($W142,頭囲データ!$R$10:$W$11,5,TRUE)*$W142+VLOOKUP($W142,頭囲データ!$R$10:$W$11,6,TRUE)</f>
        <v>#N/A</v>
      </c>
      <c r="AZ142" s="81" t="e">
        <f>VLOOKUP($W142,頭囲データ!$R$12:$W$16,3,TRUE)*$W142^3+VLOOKUP($W142,頭囲データ!$R$12:$W$16,4,TRUE)*$W142^2+VLOOKUP($W142,頭囲データ!$R$12:$W$16,5,TRUE)*$W142+VLOOKUP($W142,頭囲データ!$R$12:$W$16,6,TRUE)</f>
        <v>#N/A</v>
      </c>
      <c r="BA142" s="81" t="e">
        <f>VLOOKUP($W142,頭囲データ!$R$17:$W$18,3,TRUE)*$W142^3+VLOOKUP($W142,頭囲データ!$R$17:$W$18,4,TRUE)*$W142^2+VLOOKUP($W142,頭囲データ!$R$17:$W$18,5,TRUE)*$W142+VLOOKUP($W142,頭囲データ!$R$17:$W$18,6,TRUE)</f>
        <v>#N/A</v>
      </c>
      <c r="BB142" s="81" t="e">
        <f t="shared" si="134"/>
        <v>#N/A</v>
      </c>
      <c r="BC142" s="81" t="e">
        <f>VLOOKUP($W142,胸囲データ!$R$10:$W$11,3,TRUE)*$W142^3+VLOOKUP($W142,胸囲データ!$R$10:$W$11,4,TRUE)*$W142^2+VLOOKUP($W142,胸囲データ!$R$10:$W$11,5,TRUE)*$W142+VLOOKUP($W142,胸囲データ!$R$10:$W$11,6,TRUE)</f>
        <v>#N/A</v>
      </c>
      <c r="BD142" s="81" t="e">
        <f>VLOOKUP($W142,胸囲データ!$R$12:$W$16,3,TRUE)*$W142^3+VLOOKUP($W142,胸囲データ!$R$12:$W$16,4,TRUE)*$W142^2+VLOOKUP($W142,胸囲データ!$R$12:$W$16,5,TRUE)*$W142+VLOOKUP($W142,胸囲データ!$R$12:$W$16,6,TRUE)</f>
        <v>#N/A</v>
      </c>
      <c r="BE142" s="81" t="e">
        <f>VLOOKUP($W142,胸囲データ!$R$17:$W$18,3,TRUE)*$W142^3+VLOOKUP($W142,胸囲データ!$R$17:$W$18,4,TRUE)*$W142^2+VLOOKUP($W142,胸囲データ!$R$17:$W$18,5,TRUE)*$W142+VLOOKUP($W142,胸囲データ!$R$17:$W$18,6,TRUE)</f>
        <v>#N/A</v>
      </c>
    </row>
    <row r="143" spans="1:57" x14ac:dyDescent="0.15">
      <c r="A143" s="35"/>
      <c r="B143" s="36"/>
      <c r="C143" s="36"/>
      <c r="D143" s="49"/>
      <c r="E143" s="76"/>
      <c r="F143" s="51" t="str">
        <f t="shared" si="139"/>
        <v/>
      </c>
      <c r="G143" s="37" t="str">
        <f t="shared" si="135"/>
        <v/>
      </c>
      <c r="H143" s="38" t="str">
        <f>IF(ISERROR(W143),"",VLOOKUP(W143,成長曲線_データ!$D$4:$AC$214,3,TRUE))</f>
        <v/>
      </c>
      <c r="I143" s="39" t="str">
        <f t="shared" si="111"/>
        <v/>
      </c>
      <c r="J143" s="39" t="str">
        <f t="shared" si="112"/>
        <v/>
      </c>
      <c r="K143" s="39" t="str">
        <f t="shared" si="113"/>
        <v/>
      </c>
      <c r="L143" s="39" t="str">
        <f t="shared" si="87"/>
        <v/>
      </c>
      <c r="M143" s="39" t="str">
        <f t="shared" si="136"/>
        <v/>
      </c>
      <c r="N143" s="39" t="str">
        <f t="shared" si="137"/>
        <v/>
      </c>
      <c r="O143" s="40" t="str">
        <f t="shared" si="114"/>
        <v/>
      </c>
      <c r="P143" s="40" t="str">
        <f t="shared" si="115"/>
        <v/>
      </c>
      <c r="Q143" s="39" t="str">
        <f t="shared" si="116"/>
        <v/>
      </c>
      <c r="R143" s="39" t="str">
        <f t="shared" si="117"/>
        <v/>
      </c>
      <c r="S143" s="39" t="str">
        <f t="shared" si="138"/>
        <v/>
      </c>
      <c r="T143" s="41" t="str">
        <f t="shared" si="118"/>
        <v/>
      </c>
      <c r="V143" s="90"/>
      <c r="W143" s="79" t="e">
        <f t="shared" si="119"/>
        <v>#N/A</v>
      </c>
      <c r="X143" s="79" t="e">
        <f t="shared" si="120"/>
        <v>#N/A</v>
      </c>
      <c r="Y143" s="80" t="e">
        <f>IF(W143="","",VLOOKUP(W143,成長曲線_データ!$D$4:$AC$214,4,TRUE))</f>
        <v>#N/A</v>
      </c>
      <c r="Z143" s="80" t="e">
        <f>IF(W143="","",VLOOKUP(W143,成長曲線_データ!$D$4:$AC$214,12,TRUE))</f>
        <v>#N/A</v>
      </c>
      <c r="AA143" s="81" t="e">
        <f>IF(W143="","",VLOOKUP(W143,成長曲線_データ!$D$4:$AC$214,13,TRUE))</f>
        <v>#N/A</v>
      </c>
      <c r="AB143" s="94" t="e">
        <f t="shared" si="121"/>
        <v>#N/A</v>
      </c>
      <c r="AC143" s="82" t="e">
        <f>IF(W143&lt;0.5,NA(),VLOOKUP((W143+1/8),成長曲線_データ!$V$4:$AA$73,2,TRUE))</f>
        <v>#N/A</v>
      </c>
      <c r="AD143" s="82" t="e">
        <f>IF(W143&lt;1,NA(),VLOOKUP(W143,成長曲線_データ!$V$4:$AA$73,3,TRUE))</f>
        <v>#N/A</v>
      </c>
      <c r="AE143" s="82" t="e">
        <f>IF(W143&lt;=6.5,VLOOKUP(W143,頭囲データ!$C$10:$E$85,2,TRUE),NA())</f>
        <v>#N/A</v>
      </c>
      <c r="AF143" s="82" t="e">
        <f>IF(W143&lt;=6.5,VLOOKUP(W143,頭囲データ!$C$10:$E$85,3,TRUE),NA())</f>
        <v>#N/A</v>
      </c>
      <c r="AG143" s="89" t="str">
        <f>入力!F143&amp;"y"&amp;入力!G143&amp;"m"</f>
        <v>ym</v>
      </c>
      <c r="AH143" s="89" t="e">
        <f>IF(AND(入力!W143&gt;=1,入力!W143&lt;6,入力!B143&gt;=70,入力!B143&lt;=120),入力!B143,NA())</f>
        <v>#N/A</v>
      </c>
      <c r="AI143" s="89" t="e">
        <f>IF(AND(入力!W143&gt;=1,入力!W143&lt;6,入力!B143&gt;=70,入力!B143&lt;=120),入力!X143,NA())</f>
        <v>#N/A</v>
      </c>
      <c r="AJ143" s="89" t="e">
        <f>IF(AND(入力!W143&gt;=6,入力!B143&gt;=100,入力!B143&lt;=184),入力!B143,NA())</f>
        <v>#N/A</v>
      </c>
      <c r="AK143" s="89" t="e">
        <f>IF(AND(入力!W143&gt;=6,入力!B143&gt;=100,入力!B143&lt;=184),入力!X143,NA())</f>
        <v>#N/A</v>
      </c>
      <c r="AL143" s="82" t="e">
        <f t="shared" si="122"/>
        <v>#N/A</v>
      </c>
      <c r="AM143" s="82"/>
      <c r="AN143" s="80" t="e">
        <f t="shared" si="123"/>
        <v>#N/A</v>
      </c>
      <c r="AO143" s="80" t="e">
        <f t="shared" si="124"/>
        <v>#N/A</v>
      </c>
      <c r="AP143" s="81" t="e">
        <f t="shared" si="125"/>
        <v>#N/A</v>
      </c>
      <c r="AQ143" s="81" t="e">
        <f t="shared" si="126"/>
        <v>#VALUE!</v>
      </c>
      <c r="AR143" s="81" t="e">
        <f t="shared" si="127"/>
        <v>#N/A</v>
      </c>
      <c r="AS143" s="81" t="e">
        <f t="shared" si="128"/>
        <v>#N/A</v>
      </c>
      <c r="AT143" s="81" t="e">
        <f t="shared" si="129"/>
        <v>#N/A</v>
      </c>
      <c r="AU143" s="81" t="e">
        <f t="shared" si="130"/>
        <v>#N/A</v>
      </c>
      <c r="AV143" s="81" t="e">
        <f t="shared" si="131"/>
        <v>#N/A</v>
      </c>
      <c r="AW143" s="81" t="e">
        <f t="shared" si="132"/>
        <v>#N/A</v>
      </c>
      <c r="AX143" s="81" t="e">
        <f t="shared" si="133"/>
        <v>#N/A</v>
      </c>
      <c r="AY143" s="81" t="e">
        <f>VLOOKUP($W143,頭囲データ!$R$10:$W$11,3,TRUE)*$W143^3+VLOOKUP($W143,頭囲データ!$R$10:$W$11,4,TRUE)*$W143^2+VLOOKUP($W143,頭囲データ!$R$10:$W$11,5,TRUE)*$W143+VLOOKUP($W143,頭囲データ!$R$10:$W$11,6,TRUE)</f>
        <v>#N/A</v>
      </c>
      <c r="AZ143" s="81" t="e">
        <f>VLOOKUP($W143,頭囲データ!$R$12:$W$16,3,TRUE)*$W143^3+VLOOKUP($W143,頭囲データ!$R$12:$W$16,4,TRUE)*$W143^2+VLOOKUP($W143,頭囲データ!$R$12:$W$16,5,TRUE)*$W143+VLOOKUP($W143,頭囲データ!$R$12:$W$16,6,TRUE)</f>
        <v>#N/A</v>
      </c>
      <c r="BA143" s="81" t="e">
        <f>VLOOKUP($W143,頭囲データ!$R$17:$W$18,3,TRUE)*$W143^3+VLOOKUP($W143,頭囲データ!$R$17:$W$18,4,TRUE)*$W143^2+VLOOKUP($W143,頭囲データ!$R$17:$W$18,5,TRUE)*$W143+VLOOKUP($W143,頭囲データ!$R$17:$W$18,6,TRUE)</f>
        <v>#N/A</v>
      </c>
      <c r="BB143" s="81" t="e">
        <f t="shared" si="134"/>
        <v>#N/A</v>
      </c>
      <c r="BC143" s="81" t="e">
        <f>VLOOKUP($W143,胸囲データ!$R$10:$W$11,3,TRUE)*$W143^3+VLOOKUP($W143,胸囲データ!$R$10:$W$11,4,TRUE)*$W143^2+VLOOKUP($W143,胸囲データ!$R$10:$W$11,5,TRUE)*$W143+VLOOKUP($W143,胸囲データ!$R$10:$W$11,6,TRUE)</f>
        <v>#N/A</v>
      </c>
      <c r="BD143" s="81" t="e">
        <f>VLOOKUP($W143,胸囲データ!$R$12:$W$16,3,TRUE)*$W143^3+VLOOKUP($W143,胸囲データ!$R$12:$W$16,4,TRUE)*$W143^2+VLOOKUP($W143,胸囲データ!$R$12:$W$16,5,TRUE)*$W143+VLOOKUP($W143,胸囲データ!$R$12:$W$16,6,TRUE)</f>
        <v>#N/A</v>
      </c>
      <c r="BE143" s="81" t="e">
        <f>VLOOKUP($W143,胸囲データ!$R$17:$W$18,3,TRUE)*$W143^3+VLOOKUP($W143,胸囲データ!$R$17:$W$18,4,TRUE)*$W143^2+VLOOKUP($W143,胸囲データ!$R$17:$W$18,5,TRUE)*$W143+VLOOKUP($W143,胸囲データ!$R$17:$W$18,6,TRUE)</f>
        <v>#N/A</v>
      </c>
    </row>
    <row r="144" spans="1:57" x14ac:dyDescent="0.15">
      <c r="A144" s="35"/>
      <c r="B144" s="36"/>
      <c r="C144" s="36"/>
      <c r="D144" s="49"/>
      <c r="E144" s="76"/>
      <c r="F144" s="51" t="str">
        <f t="shared" si="139"/>
        <v/>
      </c>
      <c r="G144" s="37" t="str">
        <f t="shared" si="135"/>
        <v/>
      </c>
      <c r="H144" s="38" t="str">
        <f>IF(ISERROR(W144),"",VLOOKUP(W144,成長曲線_データ!$D$4:$AC$214,3,TRUE))</f>
        <v/>
      </c>
      <c r="I144" s="39" t="str">
        <f t="shared" si="111"/>
        <v/>
      </c>
      <c r="J144" s="39" t="str">
        <f t="shared" si="112"/>
        <v/>
      </c>
      <c r="K144" s="39" t="str">
        <f t="shared" si="113"/>
        <v/>
      </c>
      <c r="L144" s="39" t="str">
        <f t="shared" si="87"/>
        <v/>
      </c>
      <c r="M144" s="39" t="str">
        <f t="shared" si="136"/>
        <v/>
      </c>
      <c r="N144" s="39" t="str">
        <f t="shared" si="137"/>
        <v/>
      </c>
      <c r="O144" s="40" t="str">
        <f t="shared" si="114"/>
        <v/>
      </c>
      <c r="P144" s="40" t="str">
        <f t="shared" si="115"/>
        <v/>
      </c>
      <c r="Q144" s="39" t="str">
        <f t="shared" si="116"/>
        <v/>
      </c>
      <c r="R144" s="39" t="str">
        <f t="shared" si="117"/>
        <v/>
      </c>
      <c r="S144" s="39" t="str">
        <f t="shared" si="138"/>
        <v/>
      </c>
      <c r="T144" s="41" t="str">
        <f t="shared" si="118"/>
        <v/>
      </c>
      <c r="V144" s="90"/>
      <c r="W144" s="79" t="e">
        <f t="shared" si="119"/>
        <v>#N/A</v>
      </c>
      <c r="X144" s="79" t="e">
        <f t="shared" si="120"/>
        <v>#N/A</v>
      </c>
      <c r="Y144" s="80" t="e">
        <f>IF(W144="","",VLOOKUP(W144,成長曲線_データ!$D$4:$AC$214,4,TRUE))</f>
        <v>#N/A</v>
      </c>
      <c r="Z144" s="80" t="e">
        <f>IF(W144="","",VLOOKUP(W144,成長曲線_データ!$D$4:$AC$214,12,TRUE))</f>
        <v>#N/A</v>
      </c>
      <c r="AA144" s="81" t="e">
        <f>IF(W144="","",VLOOKUP(W144,成長曲線_データ!$D$4:$AC$214,13,TRUE))</f>
        <v>#N/A</v>
      </c>
      <c r="AB144" s="94" t="e">
        <f t="shared" si="121"/>
        <v>#N/A</v>
      </c>
      <c r="AC144" s="82" t="e">
        <f>IF(W144&lt;0.5,NA(),VLOOKUP((W144+1/8),成長曲線_データ!$V$4:$AA$73,2,TRUE))</f>
        <v>#N/A</v>
      </c>
      <c r="AD144" s="82" t="e">
        <f>IF(W144&lt;1,NA(),VLOOKUP(W144,成長曲線_データ!$V$4:$AA$73,3,TRUE))</f>
        <v>#N/A</v>
      </c>
      <c r="AE144" s="82" t="e">
        <f>IF(W144&lt;=6.5,VLOOKUP(W144,頭囲データ!$C$10:$E$85,2,TRUE),NA())</f>
        <v>#N/A</v>
      </c>
      <c r="AF144" s="82" t="e">
        <f>IF(W144&lt;=6.5,VLOOKUP(W144,頭囲データ!$C$10:$E$85,3,TRUE),NA())</f>
        <v>#N/A</v>
      </c>
      <c r="AG144" s="89" t="str">
        <f>入力!F144&amp;"y"&amp;入力!G144&amp;"m"</f>
        <v>ym</v>
      </c>
      <c r="AH144" s="89" t="e">
        <f>IF(AND(入力!W144&gt;=1,入力!W144&lt;6,入力!B144&gt;=70,入力!B144&lt;=120),入力!B144,NA())</f>
        <v>#N/A</v>
      </c>
      <c r="AI144" s="89" t="e">
        <f>IF(AND(入力!W144&gt;=1,入力!W144&lt;6,入力!B144&gt;=70,入力!B144&lt;=120),入力!X144,NA())</f>
        <v>#N/A</v>
      </c>
      <c r="AJ144" s="89" t="e">
        <f>IF(AND(入力!W144&gt;=6,入力!B144&gt;=100,入力!B144&lt;=184),入力!B144,NA())</f>
        <v>#N/A</v>
      </c>
      <c r="AK144" s="89" t="e">
        <f>IF(AND(入力!W144&gt;=6,入力!B144&gt;=100,入力!B144&lt;=184),入力!X144,NA())</f>
        <v>#N/A</v>
      </c>
      <c r="AL144" s="82" t="e">
        <f t="shared" si="122"/>
        <v>#N/A</v>
      </c>
      <c r="AM144" s="82"/>
      <c r="AN144" s="80" t="e">
        <f t="shared" si="123"/>
        <v>#N/A</v>
      </c>
      <c r="AO144" s="80" t="e">
        <f t="shared" si="124"/>
        <v>#N/A</v>
      </c>
      <c r="AP144" s="81" t="e">
        <f t="shared" si="125"/>
        <v>#N/A</v>
      </c>
      <c r="AQ144" s="81" t="e">
        <f t="shared" si="126"/>
        <v>#VALUE!</v>
      </c>
      <c r="AR144" s="81" t="e">
        <f t="shared" si="127"/>
        <v>#N/A</v>
      </c>
      <c r="AS144" s="81" t="e">
        <f t="shared" si="128"/>
        <v>#N/A</v>
      </c>
      <c r="AT144" s="81" t="e">
        <f t="shared" si="129"/>
        <v>#N/A</v>
      </c>
      <c r="AU144" s="81" t="e">
        <f t="shared" si="130"/>
        <v>#N/A</v>
      </c>
      <c r="AV144" s="81" t="e">
        <f t="shared" si="131"/>
        <v>#N/A</v>
      </c>
      <c r="AW144" s="81" t="e">
        <f t="shared" si="132"/>
        <v>#N/A</v>
      </c>
      <c r="AX144" s="81" t="e">
        <f t="shared" si="133"/>
        <v>#N/A</v>
      </c>
      <c r="AY144" s="81" t="e">
        <f>VLOOKUP($W144,頭囲データ!$R$10:$W$11,3,TRUE)*$W144^3+VLOOKUP($W144,頭囲データ!$R$10:$W$11,4,TRUE)*$W144^2+VLOOKUP($W144,頭囲データ!$R$10:$W$11,5,TRUE)*$W144+VLOOKUP($W144,頭囲データ!$R$10:$W$11,6,TRUE)</f>
        <v>#N/A</v>
      </c>
      <c r="AZ144" s="81" t="e">
        <f>VLOOKUP($W144,頭囲データ!$R$12:$W$16,3,TRUE)*$W144^3+VLOOKUP($W144,頭囲データ!$R$12:$W$16,4,TRUE)*$W144^2+VLOOKUP($W144,頭囲データ!$R$12:$W$16,5,TRUE)*$W144+VLOOKUP($W144,頭囲データ!$R$12:$W$16,6,TRUE)</f>
        <v>#N/A</v>
      </c>
      <c r="BA144" s="81" t="e">
        <f>VLOOKUP($W144,頭囲データ!$R$17:$W$18,3,TRUE)*$W144^3+VLOOKUP($W144,頭囲データ!$R$17:$W$18,4,TRUE)*$W144^2+VLOOKUP($W144,頭囲データ!$R$17:$W$18,5,TRUE)*$W144+VLOOKUP($W144,頭囲データ!$R$17:$W$18,6,TRUE)</f>
        <v>#N/A</v>
      </c>
      <c r="BB144" s="81" t="e">
        <f t="shared" si="134"/>
        <v>#N/A</v>
      </c>
      <c r="BC144" s="81" t="e">
        <f>VLOOKUP($W144,胸囲データ!$R$10:$W$11,3,TRUE)*$W144^3+VLOOKUP($W144,胸囲データ!$R$10:$W$11,4,TRUE)*$W144^2+VLOOKUP($W144,胸囲データ!$R$10:$W$11,5,TRUE)*$W144+VLOOKUP($W144,胸囲データ!$R$10:$W$11,6,TRUE)</f>
        <v>#N/A</v>
      </c>
      <c r="BD144" s="81" t="e">
        <f>VLOOKUP($W144,胸囲データ!$R$12:$W$16,3,TRUE)*$W144^3+VLOOKUP($W144,胸囲データ!$R$12:$W$16,4,TRUE)*$W144^2+VLOOKUP($W144,胸囲データ!$R$12:$W$16,5,TRUE)*$W144+VLOOKUP($W144,胸囲データ!$R$12:$W$16,6,TRUE)</f>
        <v>#N/A</v>
      </c>
      <c r="BE144" s="81" t="e">
        <f>VLOOKUP($W144,胸囲データ!$R$17:$W$18,3,TRUE)*$W144^3+VLOOKUP($W144,胸囲データ!$R$17:$W$18,4,TRUE)*$W144^2+VLOOKUP($W144,胸囲データ!$R$17:$W$18,5,TRUE)*$W144+VLOOKUP($W144,胸囲データ!$R$17:$W$18,6,TRUE)</f>
        <v>#N/A</v>
      </c>
    </row>
    <row r="145" spans="1:57" x14ac:dyDescent="0.15">
      <c r="A145" s="35"/>
      <c r="B145" s="36"/>
      <c r="C145" s="36"/>
      <c r="D145" s="49"/>
      <c r="E145" s="76"/>
      <c r="F145" s="51" t="str">
        <f t="shared" si="139"/>
        <v/>
      </c>
      <c r="G145" s="37" t="str">
        <f t="shared" si="135"/>
        <v/>
      </c>
      <c r="H145" s="38" t="str">
        <f>IF(ISERROR(W145),"",VLOOKUP(W145,成長曲線_データ!$D$4:$AC$214,3,TRUE))</f>
        <v/>
      </c>
      <c r="I145" s="39" t="str">
        <f t="shared" si="111"/>
        <v/>
      </c>
      <c r="J145" s="39" t="str">
        <f t="shared" si="112"/>
        <v/>
      </c>
      <c r="K145" s="39" t="str">
        <f t="shared" si="113"/>
        <v/>
      </c>
      <c r="L145" s="39" t="str">
        <f t="shared" si="87"/>
        <v/>
      </c>
      <c r="M145" s="39" t="str">
        <f t="shared" si="136"/>
        <v/>
      </c>
      <c r="N145" s="39" t="str">
        <f t="shared" si="137"/>
        <v/>
      </c>
      <c r="O145" s="40" t="str">
        <f t="shared" si="114"/>
        <v/>
      </c>
      <c r="P145" s="40" t="str">
        <f t="shared" si="115"/>
        <v/>
      </c>
      <c r="Q145" s="39" t="str">
        <f t="shared" si="116"/>
        <v/>
      </c>
      <c r="R145" s="39" t="str">
        <f t="shared" si="117"/>
        <v/>
      </c>
      <c r="S145" s="39" t="str">
        <f t="shared" si="138"/>
        <v/>
      </c>
      <c r="T145" s="41" t="str">
        <f t="shared" si="118"/>
        <v/>
      </c>
      <c r="V145" s="90"/>
      <c r="W145" s="79" t="e">
        <f t="shared" si="119"/>
        <v>#N/A</v>
      </c>
      <c r="X145" s="79" t="e">
        <f t="shared" si="120"/>
        <v>#N/A</v>
      </c>
      <c r="Y145" s="80" t="e">
        <f>IF(W145="","",VLOOKUP(W145,成長曲線_データ!$D$4:$AC$214,4,TRUE))</f>
        <v>#N/A</v>
      </c>
      <c r="Z145" s="80" t="e">
        <f>IF(W145="","",VLOOKUP(W145,成長曲線_データ!$D$4:$AC$214,12,TRUE))</f>
        <v>#N/A</v>
      </c>
      <c r="AA145" s="81" t="e">
        <f>IF(W145="","",VLOOKUP(W145,成長曲線_データ!$D$4:$AC$214,13,TRUE))</f>
        <v>#N/A</v>
      </c>
      <c r="AB145" s="94" t="e">
        <f t="shared" si="121"/>
        <v>#N/A</v>
      </c>
      <c r="AC145" s="82" t="e">
        <f>IF(W145&lt;0.5,NA(),VLOOKUP((W145+1/8),成長曲線_データ!$V$4:$AA$73,2,TRUE))</f>
        <v>#N/A</v>
      </c>
      <c r="AD145" s="82" t="e">
        <f>IF(W145&lt;1,NA(),VLOOKUP(W145,成長曲線_データ!$V$4:$AA$73,3,TRUE))</f>
        <v>#N/A</v>
      </c>
      <c r="AE145" s="82" t="e">
        <f>IF(W145&lt;=6.5,VLOOKUP(W145,頭囲データ!$C$10:$E$85,2,TRUE),NA())</f>
        <v>#N/A</v>
      </c>
      <c r="AF145" s="82" t="e">
        <f>IF(W145&lt;=6.5,VLOOKUP(W145,頭囲データ!$C$10:$E$85,3,TRUE),NA())</f>
        <v>#N/A</v>
      </c>
      <c r="AG145" s="89" t="str">
        <f>入力!F145&amp;"y"&amp;入力!G145&amp;"m"</f>
        <v>ym</v>
      </c>
      <c r="AH145" s="89" t="e">
        <f>IF(AND(入力!W145&gt;=1,入力!W145&lt;6,入力!B145&gt;=70,入力!B145&lt;=120),入力!B145,NA())</f>
        <v>#N/A</v>
      </c>
      <c r="AI145" s="89" t="e">
        <f>IF(AND(入力!W145&gt;=1,入力!W145&lt;6,入力!B145&gt;=70,入力!B145&lt;=120),入力!X145,NA())</f>
        <v>#N/A</v>
      </c>
      <c r="AJ145" s="89" t="e">
        <f>IF(AND(入力!W145&gt;=6,入力!B145&gt;=100,入力!B145&lt;=184),入力!B145,NA())</f>
        <v>#N/A</v>
      </c>
      <c r="AK145" s="89" t="e">
        <f>IF(AND(入力!W145&gt;=6,入力!B145&gt;=100,入力!B145&lt;=184),入力!X145,NA())</f>
        <v>#N/A</v>
      </c>
      <c r="AL145" s="82" t="e">
        <f t="shared" si="122"/>
        <v>#N/A</v>
      </c>
      <c r="AM145" s="82"/>
      <c r="AN145" s="80" t="e">
        <f t="shared" si="123"/>
        <v>#N/A</v>
      </c>
      <c r="AO145" s="80" t="e">
        <f t="shared" si="124"/>
        <v>#N/A</v>
      </c>
      <c r="AP145" s="81" t="e">
        <f t="shared" si="125"/>
        <v>#N/A</v>
      </c>
      <c r="AQ145" s="81" t="e">
        <f t="shared" si="126"/>
        <v>#VALUE!</v>
      </c>
      <c r="AR145" s="81" t="e">
        <f t="shared" si="127"/>
        <v>#N/A</v>
      </c>
      <c r="AS145" s="81" t="e">
        <f t="shared" si="128"/>
        <v>#N/A</v>
      </c>
      <c r="AT145" s="81" t="e">
        <f t="shared" si="129"/>
        <v>#N/A</v>
      </c>
      <c r="AU145" s="81" t="e">
        <f t="shared" si="130"/>
        <v>#N/A</v>
      </c>
      <c r="AV145" s="81" t="e">
        <f t="shared" si="131"/>
        <v>#N/A</v>
      </c>
      <c r="AW145" s="81" t="e">
        <f t="shared" si="132"/>
        <v>#N/A</v>
      </c>
      <c r="AX145" s="81" t="e">
        <f t="shared" si="133"/>
        <v>#N/A</v>
      </c>
      <c r="AY145" s="81" t="e">
        <f>VLOOKUP($W145,頭囲データ!$R$10:$W$11,3,TRUE)*$W145^3+VLOOKUP($W145,頭囲データ!$R$10:$W$11,4,TRUE)*$W145^2+VLOOKUP($W145,頭囲データ!$R$10:$W$11,5,TRUE)*$W145+VLOOKUP($W145,頭囲データ!$R$10:$W$11,6,TRUE)</f>
        <v>#N/A</v>
      </c>
      <c r="AZ145" s="81" t="e">
        <f>VLOOKUP($W145,頭囲データ!$R$12:$W$16,3,TRUE)*$W145^3+VLOOKUP($W145,頭囲データ!$R$12:$W$16,4,TRUE)*$W145^2+VLOOKUP($W145,頭囲データ!$R$12:$W$16,5,TRUE)*$W145+VLOOKUP($W145,頭囲データ!$R$12:$W$16,6,TRUE)</f>
        <v>#N/A</v>
      </c>
      <c r="BA145" s="81" t="e">
        <f>VLOOKUP($W145,頭囲データ!$R$17:$W$18,3,TRUE)*$W145^3+VLOOKUP($W145,頭囲データ!$R$17:$W$18,4,TRUE)*$W145^2+VLOOKUP($W145,頭囲データ!$R$17:$W$18,5,TRUE)*$W145+VLOOKUP($W145,頭囲データ!$R$17:$W$18,6,TRUE)</f>
        <v>#N/A</v>
      </c>
      <c r="BB145" s="81" t="e">
        <f t="shared" si="134"/>
        <v>#N/A</v>
      </c>
      <c r="BC145" s="81" t="e">
        <f>VLOOKUP($W145,胸囲データ!$R$10:$W$11,3,TRUE)*$W145^3+VLOOKUP($W145,胸囲データ!$R$10:$W$11,4,TRUE)*$W145^2+VLOOKUP($W145,胸囲データ!$R$10:$W$11,5,TRUE)*$W145+VLOOKUP($W145,胸囲データ!$R$10:$W$11,6,TRUE)</f>
        <v>#N/A</v>
      </c>
      <c r="BD145" s="81" t="e">
        <f>VLOOKUP($W145,胸囲データ!$R$12:$W$16,3,TRUE)*$W145^3+VLOOKUP($W145,胸囲データ!$R$12:$W$16,4,TRUE)*$W145^2+VLOOKUP($W145,胸囲データ!$R$12:$W$16,5,TRUE)*$W145+VLOOKUP($W145,胸囲データ!$R$12:$W$16,6,TRUE)</f>
        <v>#N/A</v>
      </c>
      <c r="BE145" s="81" t="e">
        <f>VLOOKUP($W145,胸囲データ!$R$17:$W$18,3,TRUE)*$W145^3+VLOOKUP($W145,胸囲データ!$R$17:$W$18,4,TRUE)*$W145^2+VLOOKUP($W145,胸囲データ!$R$17:$W$18,5,TRUE)*$W145+VLOOKUP($W145,胸囲データ!$R$17:$W$18,6,TRUE)</f>
        <v>#N/A</v>
      </c>
    </row>
    <row r="146" spans="1:57" x14ac:dyDescent="0.15">
      <c r="A146" s="35"/>
      <c r="B146" s="36"/>
      <c r="C146" s="36"/>
      <c r="D146" s="49"/>
      <c r="E146" s="76"/>
      <c r="F146" s="51" t="str">
        <f t="shared" si="139"/>
        <v/>
      </c>
      <c r="G146" s="37" t="str">
        <f t="shared" si="135"/>
        <v/>
      </c>
      <c r="H146" s="38" t="str">
        <f>IF(ISERROR(W146),"",VLOOKUP(W146,成長曲線_データ!$D$4:$AC$214,3,TRUE))</f>
        <v/>
      </c>
      <c r="I146" s="39" t="str">
        <f t="shared" si="111"/>
        <v/>
      </c>
      <c r="J146" s="39" t="str">
        <f t="shared" si="112"/>
        <v/>
      </c>
      <c r="K146" s="39" t="str">
        <f t="shared" si="113"/>
        <v/>
      </c>
      <c r="L146" s="39" t="str">
        <f t="shared" si="87"/>
        <v/>
      </c>
      <c r="M146" s="39" t="str">
        <f t="shared" si="136"/>
        <v/>
      </c>
      <c r="N146" s="39" t="str">
        <f t="shared" si="137"/>
        <v/>
      </c>
      <c r="O146" s="40" t="str">
        <f t="shared" si="114"/>
        <v/>
      </c>
      <c r="P146" s="40" t="str">
        <f t="shared" si="115"/>
        <v/>
      </c>
      <c r="Q146" s="39" t="str">
        <f t="shared" si="116"/>
        <v/>
      </c>
      <c r="R146" s="39" t="str">
        <f t="shared" si="117"/>
        <v/>
      </c>
      <c r="S146" s="39" t="str">
        <f t="shared" si="138"/>
        <v/>
      </c>
      <c r="T146" s="41" t="str">
        <f t="shared" si="118"/>
        <v/>
      </c>
      <c r="V146" s="90"/>
      <c r="W146" s="79" t="e">
        <f t="shared" si="119"/>
        <v>#N/A</v>
      </c>
      <c r="X146" s="79" t="e">
        <f t="shared" si="120"/>
        <v>#N/A</v>
      </c>
      <c r="Y146" s="80" t="e">
        <f>IF(W146="","",VLOOKUP(W146,成長曲線_データ!$D$4:$AC$214,4,TRUE))</f>
        <v>#N/A</v>
      </c>
      <c r="Z146" s="80" t="e">
        <f>IF(W146="","",VLOOKUP(W146,成長曲線_データ!$D$4:$AC$214,12,TRUE))</f>
        <v>#N/A</v>
      </c>
      <c r="AA146" s="81" t="e">
        <f>IF(W146="","",VLOOKUP(W146,成長曲線_データ!$D$4:$AC$214,13,TRUE))</f>
        <v>#N/A</v>
      </c>
      <c r="AB146" s="94" t="e">
        <f t="shared" si="121"/>
        <v>#N/A</v>
      </c>
      <c r="AC146" s="82" t="e">
        <f>IF(W146&lt;0.5,NA(),VLOOKUP((W146+1/8),成長曲線_データ!$V$4:$AA$73,2,TRUE))</f>
        <v>#N/A</v>
      </c>
      <c r="AD146" s="82" t="e">
        <f>IF(W146&lt;1,NA(),VLOOKUP(W146,成長曲線_データ!$V$4:$AA$73,3,TRUE))</f>
        <v>#N/A</v>
      </c>
      <c r="AE146" s="82" t="e">
        <f>IF(W146&lt;=6.5,VLOOKUP(W146,頭囲データ!$C$10:$E$85,2,TRUE),NA())</f>
        <v>#N/A</v>
      </c>
      <c r="AF146" s="82" t="e">
        <f>IF(W146&lt;=6.5,VLOOKUP(W146,頭囲データ!$C$10:$E$85,3,TRUE),NA())</f>
        <v>#N/A</v>
      </c>
      <c r="AG146" s="89" t="str">
        <f>入力!F146&amp;"y"&amp;入力!G146&amp;"m"</f>
        <v>ym</v>
      </c>
      <c r="AH146" s="89" t="e">
        <f>IF(AND(入力!W146&gt;=1,入力!W146&lt;6,入力!B146&gt;=70,入力!B146&lt;=120),入力!B146,NA())</f>
        <v>#N/A</v>
      </c>
      <c r="AI146" s="89" t="e">
        <f>IF(AND(入力!W146&gt;=1,入力!W146&lt;6,入力!B146&gt;=70,入力!B146&lt;=120),入力!X146,NA())</f>
        <v>#N/A</v>
      </c>
      <c r="AJ146" s="89" t="e">
        <f>IF(AND(入力!W146&gt;=6,入力!B146&gt;=100,入力!B146&lt;=184),入力!B146,NA())</f>
        <v>#N/A</v>
      </c>
      <c r="AK146" s="89" t="e">
        <f>IF(AND(入力!W146&gt;=6,入力!B146&gt;=100,入力!B146&lt;=184),入力!X146,NA())</f>
        <v>#N/A</v>
      </c>
      <c r="AL146" s="82" t="e">
        <f t="shared" si="122"/>
        <v>#N/A</v>
      </c>
      <c r="AM146" s="82"/>
      <c r="AN146" s="80" t="e">
        <f t="shared" si="123"/>
        <v>#N/A</v>
      </c>
      <c r="AO146" s="80" t="e">
        <f t="shared" si="124"/>
        <v>#N/A</v>
      </c>
      <c r="AP146" s="81" t="e">
        <f t="shared" si="125"/>
        <v>#N/A</v>
      </c>
      <c r="AQ146" s="81" t="e">
        <f t="shared" si="126"/>
        <v>#VALUE!</v>
      </c>
      <c r="AR146" s="81" t="e">
        <f t="shared" si="127"/>
        <v>#N/A</v>
      </c>
      <c r="AS146" s="81" t="e">
        <f t="shared" si="128"/>
        <v>#N/A</v>
      </c>
      <c r="AT146" s="81" t="e">
        <f t="shared" si="129"/>
        <v>#N/A</v>
      </c>
      <c r="AU146" s="81" t="e">
        <f t="shared" si="130"/>
        <v>#N/A</v>
      </c>
      <c r="AV146" s="81" t="e">
        <f t="shared" si="131"/>
        <v>#N/A</v>
      </c>
      <c r="AW146" s="81" t="e">
        <f t="shared" si="132"/>
        <v>#N/A</v>
      </c>
      <c r="AX146" s="81" t="e">
        <f t="shared" si="133"/>
        <v>#N/A</v>
      </c>
      <c r="AY146" s="81" t="e">
        <f>VLOOKUP($W146,頭囲データ!$R$10:$W$11,3,TRUE)*$W146^3+VLOOKUP($W146,頭囲データ!$R$10:$W$11,4,TRUE)*$W146^2+VLOOKUP($W146,頭囲データ!$R$10:$W$11,5,TRUE)*$W146+VLOOKUP($W146,頭囲データ!$R$10:$W$11,6,TRUE)</f>
        <v>#N/A</v>
      </c>
      <c r="AZ146" s="81" t="e">
        <f>VLOOKUP($W146,頭囲データ!$R$12:$W$16,3,TRUE)*$W146^3+VLOOKUP($W146,頭囲データ!$R$12:$W$16,4,TRUE)*$W146^2+VLOOKUP($W146,頭囲データ!$R$12:$W$16,5,TRUE)*$W146+VLOOKUP($W146,頭囲データ!$R$12:$W$16,6,TRUE)</f>
        <v>#N/A</v>
      </c>
      <c r="BA146" s="81" t="e">
        <f>VLOOKUP($W146,頭囲データ!$R$17:$W$18,3,TRUE)*$W146^3+VLOOKUP($W146,頭囲データ!$R$17:$W$18,4,TRUE)*$W146^2+VLOOKUP($W146,頭囲データ!$R$17:$W$18,5,TRUE)*$W146+VLOOKUP($W146,頭囲データ!$R$17:$W$18,6,TRUE)</f>
        <v>#N/A</v>
      </c>
      <c r="BB146" s="81" t="e">
        <f t="shared" si="134"/>
        <v>#N/A</v>
      </c>
      <c r="BC146" s="81" t="e">
        <f>VLOOKUP($W146,胸囲データ!$R$10:$W$11,3,TRUE)*$W146^3+VLOOKUP($W146,胸囲データ!$R$10:$W$11,4,TRUE)*$W146^2+VLOOKUP($W146,胸囲データ!$R$10:$W$11,5,TRUE)*$W146+VLOOKUP($W146,胸囲データ!$R$10:$W$11,6,TRUE)</f>
        <v>#N/A</v>
      </c>
      <c r="BD146" s="81" t="e">
        <f>VLOOKUP($W146,胸囲データ!$R$12:$W$16,3,TRUE)*$W146^3+VLOOKUP($W146,胸囲データ!$R$12:$W$16,4,TRUE)*$W146^2+VLOOKUP($W146,胸囲データ!$R$12:$W$16,5,TRUE)*$W146+VLOOKUP($W146,胸囲データ!$R$12:$W$16,6,TRUE)</f>
        <v>#N/A</v>
      </c>
      <c r="BE146" s="81" t="e">
        <f>VLOOKUP($W146,胸囲データ!$R$17:$W$18,3,TRUE)*$W146^3+VLOOKUP($W146,胸囲データ!$R$17:$W$18,4,TRUE)*$W146^2+VLOOKUP($W146,胸囲データ!$R$17:$W$18,5,TRUE)*$W146+VLOOKUP($W146,胸囲データ!$R$17:$W$18,6,TRUE)</f>
        <v>#N/A</v>
      </c>
    </row>
    <row r="147" spans="1:57" x14ac:dyDescent="0.15">
      <c r="A147" s="35"/>
      <c r="B147" s="36"/>
      <c r="C147" s="36"/>
      <c r="D147" s="49"/>
      <c r="E147" s="76"/>
      <c r="F147" s="51" t="str">
        <f t="shared" si="139"/>
        <v/>
      </c>
      <c r="G147" s="37" t="str">
        <f t="shared" si="135"/>
        <v/>
      </c>
      <c r="H147" s="38" t="str">
        <f>IF(ISERROR(W147),"",VLOOKUP(W147,成長曲線_データ!$D$4:$AC$214,3,TRUE))</f>
        <v/>
      </c>
      <c r="I147" s="39" t="str">
        <f t="shared" si="111"/>
        <v/>
      </c>
      <c r="J147" s="39" t="str">
        <f t="shared" si="112"/>
        <v/>
      </c>
      <c r="K147" s="39" t="str">
        <f t="shared" si="113"/>
        <v/>
      </c>
      <c r="L147" s="39" t="str">
        <f t="shared" si="87"/>
        <v/>
      </c>
      <c r="M147" s="39" t="str">
        <f t="shared" si="136"/>
        <v/>
      </c>
      <c r="N147" s="39" t="str">
        <f t="shared" si="137"/>
        <v/>
      </c>
      <c r="O147" s="40" t="str">
        <f t="shared" si="114"/>
        <v/>
      </c>
      <c r="P147" s="40" t="str">
        <f t="shared" si="115"/>
        <v/>
      </c>
      <c r="Q147" s="39" t="str">
        <f t="shared" si="116"/>
        <v/>
      </c>
      <c r="R147" s="39" t="str">
        <f t="shared" si="117"/>
        <v/>
      </c>
      <c r="S147" s="39" t="str">
        <f t="shared" si="138"/>
        <v/>
      </c>
      <c r="T147" s="41" t="str">
        <f t="shared" si="118"/>
        <v/>
      </c>
      <c r="V147" s="90"/>
      <c r="W147" s="79" t="e">
        <f t="shared" si="119"/>
        <v>#N/A</v>
      </c>
      <c r="X147" s="79" t="e">
        <f t="shared" si="120"/>
        <v>#N/A</v>
      </c>
      <c r="Y147" s="80" t="e">
        <f>IF(W147="","",VLOOKUP(W147,成長曲線_データ!$D$4:$AC$214,4,TRUE))</f>
        <v>#N/A</v>
      </c>
      <c r="Z147" s="80" t="e">
        <f>IF(W147="","",VLOOKUP(W147,成長曲線_データ!$D$4:$AC$214,12,TRUE))</f>
        <v>#N/A</v>
      </c>
      <c r="AA147" s="81" t="e">
        <f>IF(W147="","",VLOOKUP(W147,成長曲線_データ!$D$4:$AC$214,13,TRUE))</f>
        <v>#N/A</v>
      </c>
      <c r="AB147" s="94" t="e">
        <f t="shared" si="121"/>
        <v>#N/A</v>
      </c>
      <c r="AC147" s="82" t="e">
        <f>IF(W147&lt;0.5,NA(),VLOOKUP((W147+1/8),成長曲線_データ!$V$4:$AA$73,2,TRUE))</f>
        <v>#N/A</v>
      </c>
      <c r="AD147" s="82" t="e">
        <f>IF(W147&lt;1,NA(),VLOOKUP(W147,成長曲線_データ!$V$4:$AA$73,3,TRUE))</f>
        <v>#N/A</v>
      </c>
      <c r="AE147" s="82" t="e">
        <f>IF(W147&lt;=6.5,VLOOKUP(W147,頭囲データ!$C$10:$E$85,2,TRUE),NA())</f>
        <v>#N/A</v>
      </c>
      <c r="AF147" s="82" t="e">
        <f>IF(W147&lt;=6.5,VLOOKUP(W147,頭囲データ!$C$10:$E$85,3,TRUE),NA())</f>
        <v>#N/A</v>
      </c>
      <c r="AG147" s="89" t="str">
        <f>入力!F147&amp;"y"&amp;入力!G147&amp;"m"</f>
        <v>ym</v>
      </c>
      <c r="AH147" s="89" t="e">
        <f>IF(AND(入力!W147&gt;=1,入力!W147&lt;6,入力!B147&gt;=70,入力!B147&lt;=120),入力!B147,NA())</f>
        <v>#N/A</v>
      </c>
      <c r="AI147" s="89" t="e">
        <f>IF(AND(入力!W147&gt;=1,入力!W147&lt;6,入力!B147&gt;=70,入力!B147&lt;=120),入力!X147,NA())</f>
        <v>#N/A</v>
      </c>
      <c r="AJ147" s="89" t="e">
        <f>IF(AND(入力!W147&gt;=6,入力!B147&gt;=100,入力!B147&lt;=184),入力!B147,NA())</f>
        <v>#N/A</v>
      </c>
      <c r="AK147" s="89" t="e">
        <f>IF(AND(入力!W147&gt;=6,入力!B147&gt;=100,入力!B147&lt;=184),入力!X147,NA())</f>
        <v>#N/A</v>
      </c>
      <c r="AL147" s="82" t="e">
        <f t="shared" si="122"/>
        <v>#N/A</v>
      </c>
      <c r="AM147" s="82"/>
      <c r="AN147" s="80" t="e">
        <f t="shared" si="123"/>
        <v>#N/A</v>
      </c>
      <c r="AO147" s="80" t="e">
        <f t="shared" si="124"/>
        <v>#N/A</v>
      </c>
      <c r="AP147" s="81" t="e">
        <f t="shared" si="125"/>
        <v>#N/A</v>
      </c>
      <c r="AQ147" s="81" t="e">
        <f t="shared" si="126"/>
        <v>#VALUE!</v>
      </c>
      <c r="AR147" s="81" t="e">
        <f t="shared" si="127"/>
        <v>#N/A</v>
      </c>
      <c r="AS147" s="81" t="e">
        <f t="shared" si="128"/>
        <v>#N/A</v>
      </c>
      <c r="AT147" s="81" t="e">
        <f t="shared" si="129"/>
        <v>#N/A</v>
      </c>
      <c r="AU147" s="81" t="e">
        <f t="shared" si="130"/>
        <v>#N/A</v>
      </c>
      <c r="AV147" s="81" t="e">
        <f t="shared" si="131"/>
        <v>#N/A</v>
      </c>
      <c r="AW147" s="81" t="e">
        <f t="shared" si="132"/>
        <v>#N/A</v>
      </c>
      <c r="AX147" s="81" t="e">
        <f t="shared" si="133"/>
        <v>#N/A</v>
      </c>
      <c r="AY147" s="81" t="e">
        <f>VLOOKUP($W147,頭囲データ!$R$10:$W$11,3,TRUE)*$W147^3+VLOOKUP($W147,頭囲データ!$R$10:$W$11,4,TRUE)*$W147^2+VLOOKUP($W147,頭囲データ!$R$10:$W$11,5,TRUE)*$W147+VLOOKUP($W147,頭囲データ!$R$10:$W$11,6,TRUE)</f>
        <v>#N/A</v>
      </c>
      <c r="AZ147" s="81" t="e">
        <f>VLOOKUP($W147,頭囲データ!$R$12:$W$16,3,TRUE)*$W147^3+VLOOKUP($W147,頭囲データ!$R$12:$W$16,4,TRUE)*$W147^2+VLOOKUP($W147,頭囲データ!$R$12:$W$16,5,TRUE)*$W147+VLOOKUP($W147,頭囲データ!$R$12:$W$16,6,TRUE)</f>
        <v>#N/A</v>
      </c>
      <c r="BA147" s="81" t="e">
        <f>VLOOKUP($W147,頭囲データ!$R$17:$W$18,3,TRUE)*$W147^3+VLOOKUP($W147,頭囲データ!$R$17:$W$18,4,TRUE)*$W147^2+VLOOKUP($W147,頭囲データ!$R$17:$W$18,5,TRUE)*$W147+VLOOKUP($W147,頭囲データ!$R$17:$W$18,6,TRUE)</f>
        <v>#N/A</v>
      </c>
      <c r="BB147" s="81" t="e">
        <f t="shared" si="134"/>
        <v>#N/A</v>
      </c>
      <c r="BC147" s="81" t="e">
        <f>VLOOKUP($W147,胸囲データ!$R$10:$W$11,3,TRUE)*$W147^3+VLOOKUP($W147,胸囲データ!$R$10:$W$11,4,TRUE)*$W147^2+VLOOKUP($W147,胸囲データ!$R$10:$W$11,5,TRUE)*$W147+VLOOKUP($W147,胸囲データ!$R$10:$W$11,6,TRUE)</f>
        <v>#N/A</v>
      </c>
      <c r="BD147" s="81" t="e">
        <f>VLOOKUP($W147,胸囲データ!$R$12:$W$16,3,TRUE)*$W147^3+VLOOKUP($W147,胸囲データ!$R$12:$W$16,4,TRUE)*$W147^2+VLOOKUP($W147,胸囲データ!$R$12:$W$16,5,TRUE)*$W147+VLOOKUP($W147,胸囲データ!$R$12:$W$16,6,TRUE)</f>
        <v>#N/A</v>
      </c>
      <c r="BE147" s="81" t="e">
        <f>VLOOKUP($W147,胸囲データ!$R$17:$W$18,3,TRUE)*$W147^3+VLOOKUP($W147,胸囲データ!$R$17:$W$18,4,TRUE)*$W147^2+VLOOKUP($W147,胸囲データ!$R$17:$W$18,5,TRUE)*$W147+VLOOKUP($W147,胸囲データ!$R$17:$W$18,6,TRUE)</f>
        <v>#N/A</v>
      </c>
    </row>
    <row r="148" spans="1:57" x14ac:dyDescent="0.15">
      <c r="A148" s="35"/>
      <c r="B148" s="36"/>
      <c r="C148" s="36"/>
      <c r="D148" s="49"/>
      <c r="E148" s="76"/>
      <c r="F148" s="51" t="str">
        <f t="shared" si="139"/>
        <v/>
      </c>
      <c r="G148" s="37" t="str">
        <f t="shared" si="135"/>
        <v/>
      </c>
      <c r="H148" s="38" t="str">
        <f>IF(ISERROR(W148),"",VLOOKUP(W148,成長曲線_データ!$D$4:$AC$214,3,TRUE))</f>
        <v/>
      </c>
      <c r="I148" s="39" t="str">
        <f t="shared" si="111"/>
        <v/>
      </c>
      <c r="J148" s="39" t="str">
        <f t="shared" si="112"/>
        <v/>
      </c>
      <c r="K148" s="39" t="str">
        <f t="shared" si="113"/>
        <v/>
      </c>
      <c r="L148" s="39" t="str">
        <f t="shared" si="87"/>
        <v/>
      </c>
      <c r="M148" s="39" t="str">
        <f t="shared" si="136"/>
        <v/>
      </c>
      <c r="N148" s="39" t="str">
        <f t="shared" si="137"/>
        <v/>
      </c>
      <c r="O148" s="40" t="str">
        <f t="shared" si="114"/>
        <v/>
      </c>
      <c r="P148" s="40" t="str">
        <f t="shared" si="115"/>
        <v/>
      </c>
      <c r="Q148" s="39" t="str">
        <f t="shared" si="116"/>
        <v/>
      </c>
      <c r="R148" s="39" t="str">
        <f t="shared" si="117"/>
        <v/>
      </c>
      <c r="S148" s="39" t="str">
        <f t="shared" si="138"/>
        <v/>
      </c>
      <c r="T148" s="41" t="str">
        <f t="shared" si="118"/>
        <v/>
      </c>
      <c r="V148" s="90"/>
      <c r="W148" s="79" t="e">
        <f t="shared" si="119"/>
        <v>#N/A</v>
      </c>
      <c r="X148" s="79" t="e">
        <f t="shared" si="120"/>
        <v>#N/A</v>
      </c>
      <c r="Y148" s="80" t="e">
        <f>IF(W148="","",VLOOKUP(W148,成長曲線_データ!$D$4:$AC$214,4,TRUE))</f>
        <v>#N/A</v>
      </c>
      <c r="Z148" s="80" t="e">
        <f>IF(W148="","",VLOOKUP(W148,成長曲線_データ!$D$4:$AC$214,12,TRUE))</f>
        <v>#N/A</v>
      </c>
      <c r="AA148" s="81" t="e">
        <f>IF(W148="","",VLOOKUP(W148,成長曲線_データ!$D$4:$AC$214,13,TRUE))</f>
        <v>#N/A</v>
      </c>
      <c r="AB148" s="94" t="e">
        <f t="shared" si="121"/>
        <v>#N/A</v>
      </c>
      <c r="AC148" s="82" t="e">
        <f>IF(W148&lt;0.5,NA(),VLOOKUP((W148+1/8),成長曲線_データ!$V$4:$AA$73,2,TRUE))</f>
        <v>#N/A</v>
      </c>
      <c r="AD148" s="82" t="e">
        <f>IF(W148&lt;1,NA(),VLOOKUP(W148,成長曲線_データ!$V$4:$AA$73,3,TRUE))</f>
        <v>#N/A</v>
      </c>
      <c r="AE148" s="82" t="e">
        <f>IF(W148&lt;=6.5,VLOOKUP(W148,頭囲データ!$C$10:$E$85,2,TRUE),NA())</f>
        <v>#N/A</v>
      </c>
      <c r="AF148" s="82" t="e">
        <f>IF(W148&lt;=6.5,VLOOKUP(W148,頭囲データ!$C$10:$E$85,3,TRUE),NA())</f>
        <v>#N/A</v>
      </c>
      <c r="AG148" s="89" t="str">
        <f>入力!F148&amp;"y"&amp;入力!G148&amp;"m"</f>
        <v>ym</v>
      </c>
      <c r="AH148" s="89" t="e">
        <f>IF(AND(入力!W148&gt;=1,入力!W148&lt;6,入力!B148&gt;=70,入力!B148&lt;=120),入力!B148,NA())</f>
        <v>#N/A</v>
      </c>
      <c r="AI148" s="89" t="e">
        <f>IF(AND(入力!W148&gt;=1,入力!W148&lt;6,入力!B148&gt;=70,入力!B148&lt;=120),入力!X148,NA())</f>
        <v>#N/A</v>
      </c>
      <c r="AJ148" s="89" t="e">
        <f>IF(AND(入力!W148&gt;=6,入力!B148&gt;=100,入力!B148&lt;=184),入力!B148,NA())</f>
        <v>#N/A</v>
      </c>
      <c r="AK148" s="89" t="e">
        <f>IF(AND(入力!W148&gt;=6,入力!B148&gt;=100,入力!B148&lt;=184),入力!X148,NA())</f>
        <v>#N/A</v>
      </c>
      <c r="AL148" s="82" t="e">
        <f t="shared" si="122"/>
        <v>#N/A</v>
      </c>
      <c r="AM148" s="82"/>
      <c r="AN148" s="80" t="e">
        <f t="shared" si="123"/>
        <v>#N/A</v>
      </c>
      <c r="AO148" s="80" t="e">
        <f t="shared" si="124"/>
        <v>#N/A</v>
      </c>
      <c r="AP148" s="81" t="e">
        <f t="shared" si="125"/>
        <v>#N/A</v>
      </c>
      <c r="AQ148" s="81" t="e">
        <f t="shared" si="126"/>
        <v>#VALUE!</v>
      </c>
      <c r="AR148" s="81" t="e">
        <f t="shared" si="127"/>
        <v>#N/A</v>
      </c>
      <c r="AS148" s="81" t="e">
        <f t="shared" si="128"/>
        <v>#N/A</v>
      </c>
      <c r="AT148" s="81" t="e">
        <f t="shared" si="129"/>
        <v>#N/A</v>
      </c>
      <c r="AU148" s="81" t="e">
        <f t="shared" si="130"/>
        <v>#N/A</v>
      </c>
      <c r="AV148" s="81" t="e">
        <f t="shared" si="131"/>
        <v>#N/A</v>
      </c>
      <c r="AW148" s="81" t="e">
        <f t="shared" si="132"/>
        <v>#N/A</v>
      </c>
      <c r="AX148" s="81" t="e">
        <f t="shared" si="133"/>
        <v>#N/A</v>
      </c>
      <c r="AY148" s="81" t="e">
        <f>VLOOKUP($W148,頭囲データ!$R$10:$W$11,3,TRUE)*$W148^3+VLOOKUP($W148,頭囲データ!$R$10:$W$11,4,TRUE)*$W148^2+VLOOKUP($W148,頭囲データ!$R$10:$W$11,5,TRUE)*$W148+VLOOKUP($W148,頭囲データ!$R$10:$W$11,6,TRUE)</f>
        <v>#N/A</v>
      </c>
      <c r="AZ148" s="81" t="e">
        <f>VLOOKUP($W148,頭囲データ!$R$12:$W$16,3,TRUE)*$W148^3+VLOOKUP($W148,頭囲データ!$R$12:$W$16,4,TRUE)*$W148^2+VLOOKUP($W148,頭囲データ!$R$12:$W$16,5,TRUE)*$W148+VLOOKUP($W148,頭囲データ!$R$12:$W$16,6,TRUE)</f>
        <v>#N/A</v>
      </c>
      <c r="BA148" s="81" t="e">
        <f>VLOOKUP($W148,頭囲データ!$R$17:$W$18,3,TRUE)*$W148^3+VLOOKUP($W148,頭囲データ!$R$17:$W$18,4,TRUE)*$W148^2+VLOOKUP($W148,頭囲データ!$R$17:$W$18,5,TRUE)*$W148+VLOOKUP($W148,頭囲データ!$R$17:$W$18,6,TRUE)</f>
        <v>#N/A</v>
      </c>
      <c r="BB148" s="81" t="e">
        <f t="shared" si="134"/>
        <v>#N/A</v>
      </c>
      <c r="BC148" s="81" t="e">
        <f>VLOOKUP($W148,胸囲データ!$R$10:$W$11,3,TRUE)*$W148^3+VLOOKUP($W148,胸囲データ!$R$10:$W$11,4,TRUE)*$W148^2+VLOOKUP($W148,胸囲データ!$R$10:$W$11,5,TRUE)*$W148+VLOOKUP($W148,胸囲データ!$R$10:$W$11,6,TRUE)</f>
        <v>#N/A</v>
      </c>
      <c r="BD148" s="81" t="e">
        <f>VLOOKUP($W148,胸囲データ!$R$12:$W$16,3,TRUE)*$W148^3+VLOOKUP($W148,胸囲データ!$R$12:$W$16,4,TRUE)*$W148^2+VLOOKUP($W148,胸囲データ!$R$12:$W$16,5,TRUE)*$W148+VLOOKUP($W148,胸囲データ!$R$12:$W$16,6,TRUE)</f>
        <v>#N/A</v>
      </c>
      <c r="BE148" s="81" t="e">
        <f>VLOOKUP($W148,胸囲データ!$R$17:$W$18,3,TRUE)*$W148^3+VLOOKUP($W148,胸囲データ!$R$17:$W$18,4,TRUE)*$W148^2+VLOOKUP($W148,胸囲データ!$R$17:$W$18,5,TRUE)*$W148+VLOOKUP($W148,胸囲データ!$R$17:$W$18,6,TRUE)</f>
        <v>#N/A</v>
      </c>
    </row>
    <row r="149" spans="1:57" x14ac:dyDescent="0.15">
      <c r="A149" s="35"/>
      <c r="B149" s="36"/>
      <c r="C149" s="36"/>
      <c r="D149" s="49"/>
      <c r="E149" s="76"/>
      <c r="F149" s="51" t="str">
        <f t="shared" si="139"/>
        <v/>
      </c>
      <c r="G149" s="37" t="str">
        <f t="shared" si="135"/>
        <v/>
      </c>
      <c r="H149" s="38" t="str">
        <f>IF(ISERROR(W149),"",VLOOKUP(W149,成長曲線_データ!$D$4:$AC$214,3,TRUE))</f>
        <v/>
      </c>
      <c r="I149" s="39" t="str">
        <f t="shared" si="111"/>
        <v/>
      </c>
      <c r="J149" s="39" t="str">
        <f t="shared" si="112"/>
        <v/>
      </c>
      <c r="K149" s="39" t="str">
        <f t="shared" si="113"/>
        <v/>
      </c>
      <c r="L149" s="39" t="str">
        <f t="shared" si="87"/>
        <v/>
      </c>
      <c r="M149" s="39" t="str">
        <f t="shared" si="136"/>
        <v/>
      </c>
      <c r="N149" s="39" t="str">
        <f t="shared" si="137"/>
        <v/>
      </c>
      <c r="O149" s="40" t="str">
        <f t="shared" si="114"/>
        <v/>
      </c>
      <c r="P149" s="40" t="str">
        <f t="shared" si="115"/>
        <v/>
      </c>
      <c r="Q149" s="39" t="str">
        <f t="shared" si="116"/>
        <v/>
      </c>
      <c r="R149" s="39" t="str">
        <f t="shared" si="117"/>
        <v/>
      </c>
      <c r="S149" s="39" t="str">
        <f t="shared" si="138"/>
        <v/>
      </c>
      <c r="T149" s="41" t="str">
        <f t="shared" si="118"/>
        <v/>
      </c>
      <c r="V149" s="90"/>
      <c r="W149" s="79" t="e">
        <f t="shared" si="119"/>
        <v>#N/A</v>
      </c>
      <c r="X149" s="79" t="e">
        <f t="shared" si="120"/>
        <v>#N/A</v>
      </c>
      <c r="Y149" s="80" t="e">
        <f>IF(W149="","",VLOOKUP(W149,成長曲線_データ!$D$4:$AC$214,4,TRUE))</f>
        <v>#N/A</v>
      </c>
      <c r="Z149" s="80" t="e">
        <f>IF(W149="","",VLOOKUP(W149,成長曲線_データ!$D$4:$AC$214,12,TRUE))</f>
        <v>#N/A</v>
      </c>
      <c r="AA149" s="81" t="e">
        <f>IF(W149="","",VLOOKUP(W149,成長曲線_データ!$D$4:$AC$214,13,TRUE))</f>
        <v>#N/A</v>
      </c>
      <c r="AB149" s="94" t="e">
        <f t="shared" si="121"/>
        <v>#N/A</v>
      </c>
      <c r="AC149" s="82" t="e">
        <f>IF(W149&lt;0.5,NA(),VLOOKUP((W149+1/8),成長曲線_データ!$V$4:$AA$73,2,TRUE))</f>
        <v>#N/A</v>
      </c>
      <c r="AD149" s="82" t="e">
        <f>IF(W149&lt;1,NA(),VLOOKUP(W149,成長曲線_データ!$V$4:$AA$73,3,TRUE))</f>
        <v>#N/A</v>
      </c>
      <c r="AE149" s="82" t="e">
        <f>IF(W149&lt;=6.5,VLOOKUP(W149,頭囲データ!$C$10:$E$85,2,TRUE),NA())</f>
        <v>#N/A</v>
      </c>
      <c r="AF149" s="82" t="e">
        <f>IF(W149&lt;=6.5,VLOOKUP(W149,頭囲データ!$C$10:$E$85,3,TRUE),NA())</f>
        <v>#N/A</v>
      </c>
      <c r="AG149" s="89" t="str">
        <f>入力!F149&amp;"y"&amp;入力!G149&amp;"m"</f>
        <v>ym</v>
      </c>
      <c r="AH149" s="89" t="e">
        <f>IF(AND(入力!W149&gt;=1,入力!W149&lt;6,入力!B149&gt;=70,入力!B149&lt;=120),入力!B149,NA())</f>
        <v>#N/A</v>
      </c>
      <c r="AI149" s="89" t="e">
        <f>IF(AND(入力!W149&gt;=1,入力!W149&lt;6,入力!B149&gt;=70,入力!B149&lt;=120),入力!X149,NA())</f>
        <v>#N/A</v>
      </c>
      <c r="AJ149" s="89" t="e">
        <f>IF(AND(入力!W149&gt;=6,入力!B149&gt;=100,入力!B149&lt;=184),入力!B149,NA())</f>
        <v>#N/A</v>
      </c>
      <c r="AK149" s="89" t="e">
        <f>IF(AND(入力!W149&gt;=6,入力!B149&gt;=100,入力!B149&lt;=184),入力!X149,NA())</f>
        <v>#N/A</v>
      </c>
      <c r="AL149" s="82" t="e">
        <f t="shared" si="122"/>
        <v>#N/A</v>
      </c>
      <c r="AM149" s="82"/>
      <c r="AN149" s="80" t="e">
        <f t="shared" si="123"/>
        <v>#N/A</v>
      </c>
      <c r="AO149" s="80" t="e">
        <f t="shared" si="124"/>
        <v>#N/A</v>
      </c>
      <c r="AP149" s="81" t="e">
        <f t="shared" si="125"/>
        <v>#N/A</v>
      </c>
      <c r="AQ149" s="81" t="e">
        <f t="shared" si="126"/>
        <v>#VALUE!</v>
      </c>
      <c r="AR149" s="81" t="e">
        <f t="shared" si="127"/>
        <v>#N/A</v>
      </c>
      <c r="AS149" s="81" t="e">
        <f t="shared" si="128"/>
        <v>#N/A</v>
      </c>
      <c r="AT149" s="81" t="e">
        <f t="shared" si="129"/>
        <v>#N/A</v>
      </c>
      <c r="AU149" s="81" t="e">
        <f t="shared" si="130"/>
        <v>#N/A</v>
      </c>
      <c r="AV149" s="81" t="e">
        <f t="shared" si="131"/>
        <v>#N/A</v>
      </c>
      <c r="AW149" s="81" t="e">
        <f t="shared" si="132"/>
        <v>#N/A</v>
      </c>
      <c r="AX149" s="81" t="e">
        <f t="shared" si="133"/>
        <v>#N/A</v>
      </c>
      <c r="AY149" s="81" t="e">
        <f>VLOOKUP($W149,頭囲データ!$R$10:$W$11,3,TRUE)*$W149^3+VLOOKUP($W149,頭囲データ!$R$10:$W$11,4,TRUE)*$W149^2+VLOOKUP($W149,頭囲データ!$R$10:$W$11,5,TRUE)*$W149+VLOOKUP($W149,頭囲データ!$R$10:$W$11,6,TRUE)</f>
        <v>#N/A</v>
      </c>
      <c r="AZ149" s="81" t="e">
        <f>VLOOKUP($W149,頭囲データ!$R$12:$W$16,3,TRUE)*$W149^3+VLOOKUP($W149,頭囲データ!$R$12:$W$16,4,TRUE)*$W149^2+VLOOKUP($W149,頭囲データ!$R$12:$W$16,5,TRUE)*$W149+VLOOKUP($W149,頭囲データ!$R$12:$W$16,6,TRUE)</f>
        <v>#N/A</v>
      </c>
      <c r="BA149" s="81" t="e">
        <f>VLOOKUP($W149,頭囲データ!$R$17:$W$18,3,TRUE)*$W149^3+VLOOKUP($W149,頭囲データ!$R$17:$W$18,4,TRUE)*$W149^2+VLOOKUP($W149,頭囲データ!$R$17:$W$18,5,TRUE)*$W149+VLOOKUP($W149,頭囲データ!$R$17:$W$18,6,TRUE)</f>
        <v>#N/A</v>
      </c>
      <c r="BB149" s="81" t="e">
        <f t="shared" si="134"/>
        <v>#N/A</v>
      </c>
      <c r="BC149" s="81" t="e">
        <f>VLOOKUP($W149,胸囲データ!$R$10:$W$11,3,TRUE)*$W149^3+VLOOKUP($W149,胸囲データ!$R$10:$W$11,4,TRUE)*$W149^2+VLOOKUP($W149,胸囲データ!$R$10:$W$11,5,TRUE)*$W149+VLOOKUP($W149,胸囲データ!$R$10:$W$11,6,TRUE)</f>
        <v>#N/A</v>
      </c>
      <c r="BD149" s="81" t="e">
        <f>VLOOKUP($W149,胸囲データ!$R$12:$W$16,3,TRUE)*$W149^3+VLOOKUP($W149,胸囲データ!$R$12:$W$16,4,TRUE)*$W149^2+VLOOKUP($W149,胸囲データ!$R$12:$W$16,5,TRUE)*$W149+VLOOKUP($W149,胸囲データ!$R$12:$W$16,6,TRUE)</f>
        <v>#N/A</v>
      </c>
      <c r="BE149" s="81" t="e">
        <f>VLOOKUP($W149,胸囲データ!$R$17:$W$18,3,TRUE)*$W149^3+VLOOKUP($W149,胸囲データ!$R$17:$W$18,4,TRUE)*$W149^2+VLOOKUP($W149,胸囲データ!$R$17:$W$18,5,TRUE)*$W149+VLOOKUP($W149,胸囲データ!$R$17:$W$18,6,TRUE)</f>
        <v>#N/A</v>
      </c>
    </row>
    <row r="150" spans="1:57" x14ac:dyDescent="0.15">
      <c r="A150" s="35"/>
      <c r="B150" s="36"/>
      <c r="C150" s="36"/>
      <c r="D150" s="49"/>
      <c r="E150" s="76"/>
      <c r="F150" s="51" t="str">
        <f t="shared" si="139"/>
        <v/>
      </c>
      <c r="G150" s="37" t="str">
        <f t="shared" si="135"/>
        <v/>
      </c>
      <c r="H150" s="38" t="str">
        <f>IF(ISERROR(W150),"",VLOOKUP(W150,成長曲線_データ!$D$4:$AC$214,3,TRUE))</f>
        <v/>
      </c>
      <c r="I150" s="39" t="str">
        <f t="shared" si="111"/>
        <v/>
      </c>
      <c r="J150" s="39" t="str">
        <f t="shared" si="112"/>
        <v/>
      </c>
      <c r="K150" s="39" t="str">
        <f t="shared" si="113"/>
        <v/>
      </c>
      <c r="L150" s="39" t="str">
        <f t="shared" si="87"/>
        <v/>
      </c>
      <c r="M150" s="39" t="str">
        <f t="shared" si="136"/>
        <v/>
      </c>
      <c r="N150" s="39" t="str">
        <f t="shared" si="137"/>
        <v/>
      </c>
      <c r="O150" s="40" t="str">
        <f t="shared" si="114"/>
        <v/>
      </c>
      <c r="P150" s="40" t="str">
        <f t="shared" si="115"/>
        <v/>
      </c>
      <c r="Q150" s="39" t="str">
        <f t="shared" si="116"/>
        <v/>
      </c>
      <c r="R150" s="39" t="str">
        <f t="shared" si="117"/>
        <v/>
      </c>
      <c r="S150" s="39" t="str">
        <f t="shared" si="138"/>
        <v/>
      </c>
      <c r="T150" s="41" t="str">
        <f t="shared" si="118"/>
        <v/>
      </c>
      <c r="V150" s="90"/>
      <c r="W150" s="79" t="e">
        <f t="shared" si="119"/>
        <v>#N/A</v>
      </c>
      <c r="X150" s="79" t="e">
        <f t="shared" si="120"/>
        <v>#N/A</v>
      </c>
      <c r="Y150" s="80" t="e">
        <f>IF(W150="","",VLOOKUP(W150,成長曲線_データ!$D$4:$AC$214,4,TRUE))</f>
        <v>#N/A</v>
      </c>
      <c r="Z150" s="80" t="e">
        <f>IF(W150="","",VLOOKUP(W150,成長曲線_データ!$D$4:$AC$214,12,TRUE))</f>
        <v>#N/A</v>
      </c>
      <c r="AA150" s="81" t="e">
        <f>IF(W150="","",VLOOKUP(W150,成長曲線_データ!$D$4:$AC$214,13,TRUE))</f>
        <v>#N/A</v>
      </c>
      <c r="AB150" s="94" t="e">
        <f t="shared" si="121"/>
        <v>#N/A</v>
      </c>
      <c r="AC150" s="82" t="e">
        <f>IF(W150&lt;0.5,NA(),VLOOKUP((W150+1/8),成長曲線_データ!$V$4:$AA$73,2,TRUE))</f>
        <v>#N/A</v>
      </c>
      <c r="AD150" s="82" t="e">
        <f>IF(W150&lt;1,NA(),VLOOKUP(W150,成長曲線_データ!$V$4:$AA$73,3,TRUE))</f>
        <v>#N/A</v>
      </c>
      <c r="AE150" s="82" t="e">
        <f>IF(W150&lt;=6.5,VLOOKUP(W150,頭囲データ!$C$10:$E$85,2,TRUE),NA())</f>
        <v>#N/A</v>
      </c>
      <c r="AF150" s="82" t="e">
        <f>IF(W150&lt;=6.5,VLOOKUP(W150,頭囲データ!$C$10:$E$85,3,TRUE),NA())</f>
        <v>#N/A</v>
      </c>
      <c r="AG150" s="89" t="str">
        <f>入力!F150&amp;"y"&amp;入力!G150&amp;"m"</f>
        <v>ym</v>
      </c>
      <c r="AH150" s="89" t="e">
        <f>IF(AND(入力!W150&gt;=1,入力!W150&lt;6,入力!B150&gt;=70,入力!B150&lt;=120),入力!B150,NA())</f>
        <v>#N/A</v>
      </c>
      <c r="AI150" s="89" t="e">
        <f>IF(AND(入力!W150&gt;=1,入力!W150&lt;6,入力!B150&gt;=70,入力!B150&lt;=120),入力!X150,NA())</f>
        <v>#N/A</v>
      </c>
      <c r="AJ150" s="89" t="e">
        <f>IF(AND(入力!W150&gt;=6,入力!B150&gt;=100,入力!B150&lt;=184),入力!B150,NA())</f>
        <v>#N/A</v>
      </c>
      <c r="AK150" s="89" t="e">
        <f>IF(AND(入力!W150&gt;=6,入力!B150&gt;=100,入力!B150&lt;=184),入力!X150,NA())</f>
        <v>#N/A</v>
      </c>
      <c r="AL150" s="82" t="e">
        <f t="shared" si="122"/>
        <v>#N/A</v>
      </c>
      <c r="AM150" s="82"/>
      <c r="AN150" s="80" t="e">
        <f t="shared" si="123"/>
        <v>#N/A</v>
      </c>
      <c r="AO150" s="80" t="e">
        <f t="shared" si="124"/>
        <v>#N/A</v>
      </c>
      <c r="AP150" s="81" t="e">
        <f t="shared" si="125"/>
        <v>#N/A</v>
      </c>
      <c r="AQ150" s="81" t="e">
        <f t="shared" si="126"/>
        <v>#VALUE!</v>
      </c>
      <c r="AR150" s="81" t="e">
        <f t="shared" si="127"/>
        <v>#N/A</v>
      </c>
      <c r="AS150" s="81" t="e">
        <f t="shared" si="128"/>
        <v>#N/A</v>
      </c>
      <c r="AT150" s="81" t="e">
        <f t="shared" si="129"/>
        <v>#N/A</v>
      </c>
      <c r="AU150" s="81" t="e">
        <f t="shared" si="130"/>
        <v>#N/A</v>
      </c>
      <c r="AV150" s="81" t="e">
        <f t="shared" si="131"/>
        <v>#N/A</v>
      </c>
      <c r="AW150" s="81" t="e">
        <f t="shared" si="132"/>
        <v>#N/A</v>
      </c>
      <c r="AX150" s="81" t="e">
        <f t="shared" si="133"/>
        <v>#N/A</v>
      </c>
      <c r="AY150" s="81" t="e">
        <f>VLOOKUP($W150,頭囲データ!$R$10:$W$11,3,TRUE)*$W150^3+VLOOKUP($W150,頭囲データ!$R$10:$W$11,4,TRUE)*$W150^2+VLOOKUP($W150,頭囲データ!$R$10:$W$11,5,TRUE)*$W150+VLOOKUP($W150,頭囲データ!$R$10:$W$11,6,TRUE)</f>
        <v>#N/A</v>
      </c>
      <c r="AZ150" s="81" t="e">
        <f>VLOOKUP($W150,頭囲データ!$R$12:$W$16,3,TRUE)*$W150^3+VLOOKUP($W150,頭囲データ!$R$12:$W$16,4,TRUE)*$W150^2+VLOOKUP($W150,頭囲データ!$R$12:$W$16,5,TRUE)*$W150+VLOOKUP($W150,頭囲データ!$R$12:$W$16,6,TRUE)</f>
        <v>#N/A</v>
      </c>
      <c r="BA150" s="81" t="e">
        <f>VLOOKUP($W150,頭囲データ!$R$17:$W$18,3,TRUE)*$W150^3+VLOOKUP($W150,頭囲データ!$R$17:$W$18,4,TRUE)*$W150^2+VLOOKUP($W150,頭囲データ!$R$17:$W$18,5,TRUE)*$W150+VLOOKUP($W150,頭囲データ!$R$17:$W$18,6,TRUE)</f>
        <v>#N/A</v>
      </c>
      <c r="BB150" s="81" t="e">
        <f t="shared" si="134"/>
        <v>#N/A</v>
      </c>
      <c r="BC150" s="81" t="e">
        <f>VLOOKUP($W150,胸囲データ!$R$10:$W$11,3,TRUE)*$W150^3+VLOOKUP($W150,胸囲データ!$R$10:$W$11,4,TRUE)*$W150^2+VLOOKUP($W150,胸囲データ!$R$10:$W$11,5,TRUE)*$W150+VLOOKUP($W150,胸囲データ!$R$10:$W$11,6,TRUE)</f>
        <v>#N/A</v>
      </c>
      <c r="BD150" s="81" t="e">
        <f>VLOOKUP($W150,胸囲データ!$R$12:$W$16,3,TRUE)*$W150^3+VLOOKUP($W150,胸囲データ!$R$12:$W$16,4,TRUE)*$W150^2+VLOOKUP($W150,胸囲データ!$R$12:$W$16,5,TRUE)*$W150+VLOOKUP($W150,胸囲データ!$R$12:$W$16,6,TRUE)</f>
        <v>#N/A</v>
      </c>
      <c r="BE150" s="81" t="e">
        <f>VLOOKUP($W150,胸囲データ!$R$17:$W$18,3,TRUE)*$W150^3+VLOOKUP($W150,胸囲データ!$R$17:$W$18,4,TRUE)*$W150^2+VLOOKUP($W150,胸囲データ!$R$17:$W$18,5,TRUE)*$W150+VLOOKUP($W150,胸囲データ!$R$17:$W$18,6,TRUE)</f>
        <v>#N/A</v>
      </c>
    </row>
    <row r="151" spans="1:57" x14ac:dyDescent="0.15">
      <c r="A151" s="35"/>
      <c r="B151" s="36"/>
      <c r="C151" s="36"/>
      <c r="D151" s="49"/>
      <c r="E151" s="76"/>
      <c r="F151" s="51" t="str">
        <f t="shared" si="139"/>
        <v/>
      </c>
      <c r="G151" s="37" t="str">
        <f t="shared" si="135"/>
        <v/>
      </c>
      <c r="H151" s="38" t="str">
        <f>IF(ISERROR(W151),"",VLOOKUP(W151,成長曲線_データ!$D$4:$AC$214,3,TRUE))</f>
        <v/>
      </c>
      <c r="I151" s="39" t="str">
        <f t="shared" si="111"/>
        <v/>
      </c>
      <c r="J151" s="39" t="str">
        <f t="shared" si="112"/>
        <v/>
      </c>
      <c r="K151" s="39" t="str">
        <f t="shared" si="113"/>
        <v/>
      </c>
      <c r="L151" s="39" t="str">
        <f t="shared" si="87"/>
        <v/>
      </c>
      <c r="M151" s="39" t="str">
        <f t="shared" si="136"/>
        <v/>
      </c>
      <c r="N151" s="39" t="str">
        <f t="shared" si="137"/>
        <v/>
      </c>
      <c r="O151" s="40" t="str">
        <f t="shared" si="114"/>
        <v/>
      </c>
      <c r="P151" s="40" t="str">
        <f t="shared" si="115"/>
        <v/>
      </c>
      <c r="Q151" s="39" t="str">
        <f t="shared" si="116"/>
        <v/>
      </c>
      <c r="R151" s="39" t="str">
        <f t="shared" si="117"/>
        <v/>
      </c>
      <c r="S151" s="39" t="str">
        <f t="shared" si="138"/>
        <v/>
      </c>
      <c r="T151" s="41" t="str">
        <f t="shared" si="118"/>
        <v/>
      </c>
      <c r="V151" s="90"/>
      <c r="W151" s="79" t="e">
        <f t="shared" si="119"/>
        <v>#N/A</v>
      </c>
      <c r="X151" s="79" t="e">
        <f t="shared" si="120"/>
        <v>#N/A</v>
      </c>
      <c r="Y151" s="80" t="e">
        <f>IF(W151="","",VLOOKUP(W151,成長曲線_データ!$D$4:$AC$214,4,TRUE))</f>
        <v>#N/A</v>
      </c>
      <c r="Z151" s="80" t="e">
        <f>IF(W151="","",VLOOKUP(W151,成長曲線_データ!$D$4:$AC$214,12,TRUE))</f>
        <v>#N/A</v>
      </c>
      <c r="AA151" s="81" t="e">
        <f>IF(W151="","",VLOOKUP(W151,成長曲線_データ!$D$4:$AC$214,13,TRUE))</f>
        <v>#N/A</v>
      </c>
      <c r="AB151" s="94" t="e">
        <f t="shared" si="121"/>
        <v>#N/A</v>
      </c>
      <c r="AC151" s="82" t="e">
        <f>IF(W151&lt;0.5,NA(),VLOOKUP((W151+1/8),成長曲線_データ!$V$4:$AA$73,2,TRUE))</f>
        <v>#N/A</v>
      </c>
      <c r="AD151" s="82" t="e">
        <f>IF(W151&lt;1,NA(),VLOOKUP(W151,成長曲線_データ!$V$4:$AA$73,3,TRUE))</f>
        <v>#N/A</v>
      </c>
      <c r="AE151" s="82" t="e">
        <f>IF(W151&lt;=6.5,VLOOKUP(W151,頭囲データ!$C$10:$E$85,2,TRUE),NA())</f>
        <v>#N/A</v>
      </c>
      <c r="AF151" s="82" t="e">
        <f>IF(W151&lt;=6.5,VLOOKUP(W151,頭囲データ!$C$10:$E$85,3,TRUE),NA())</f>
        <v>#N/A</v>
      </c>
      <c r="AG151" s="89" t="str">
        <f>入力!F151&amp;"y"&amp;入力!G151&amp;"m"</f>
        <v>ym</v>
      </c>
      <c r="AH151" s="89" t="e">
        <f>IF(AND(入力!W151&gt;=1,入力!W151&lt;6,入力!B151&gt;=70,入力!B151&lt;=120),入力!B151,NA())</f>
        <v>#N/A</v>
      </c>
      <c r="AI151" s="89" t="e">
        <f>IF(AND(入力!W151&gt;=1,入力!W151&lt;6,入力!B151&gt;=70,入力!B151&lt;=120),入力!X151,NA())</f>
        <v>#N/A</v>
      </c>
      <c r="AJ151" s="89" t="e">
        <f>IF(AND(入力!W151&gt;=6,入力!B151&gt;=100,入力!B151&lt;=184),入力!B151,NA())</f>
        <v>#N/A</v>
      </c>
      <c r="AK151" s="89" t="e">
        <f>IF(AND(入力!W151&gt;=6,入力!B151&gt;=100,入力!B151&lt;=184),入力!X151,NA())</f>
        <v>#N/A</v>
      </c>
      <c r="AL151" s="82" t="e">
        <f t="shared" si="122"/>
        <v>#N/A</v>
      </c>
      <c r="AM151" s="82"/>
      <c r="AN151" s="80" t="e">
        <f t="shared" si="123"/>
        <v>#N/A</v>
      </c>
      <c r="AO151" s="80" t="e">
        <f t="shared" si="124"/>
        <v>#N/A</v>
      </c>
      <c r="AP151" s="81" t="e">
        <f t="shared" si="125"/>
        <v>#N/A</v>
      </c>
      <c r="AQ151" s="81" t="e">
        <f t="shared" si="126"/>
        <v>#VALUE!</v>
      </c>
      <c r="AR151" s="81" t="e">
        <f t="shared" si="127"/>
        <v>#N/A</v>
      </c>
      <c r="AS151" s="81" t="e">
        <f t="shared" si="128"/>
        <v>#N/A</v>
      </c>
      <c r="AT151" s="81" t="e">
        <f t="shared" si="129"/>
        <v>#N/A</v>
      </c>
      <c r="AU151" s="81" t="e">
        <f t="shared" si="130"/>
        <v>#N/A</v>
      </c>
      <c r="AV151" s="81" t="e">
        <f t="shared" si="131"/>
        <v>#N/A</v>
      </c>
      <c r="AW151" s="81" t="e">
        <f t="shared" si="132"/>
        <v>#N/A</v>
      </c>
      <c r="AX151" s="81" t="e">
        <f t="shared" si="133"/>
        <v>#N/A</v>
      </c>
      <c r="AY151" s="81" t="e">
        <f>VLOOKUP($W151,頭囲データ!$R$10:$W$11,3,TRUE)*$W151^3+VLOOKUP($W151,頭囲データ!$R$10:$W$11,4,TRUE)*$W151^2+VLOOKUP($W151,頭囲データ!$R$10:$W$11,5,TRUE)*$W151+VLOOKUP($W151,頭囲データ!$R$10:$W$11,6,TRUE)</f>
        <v>#N/A</v>
      </c>
      <c r="AZ151" s="81" t="e">
        <f>VLOOKUP($W151,頭囲データ!$R$12:$W$16,3,TRUE)*$W151^3+VLOOKUP($W151,頭囲データ!$R$12:$W$16,4,TRUE)*$W151^2+VLOOKUP($W151,頭囲データ!$R$12:$W$16,5,TRUE)*$W151+VLOOKUP($W151,頭囲データ!$R$12:$W$16,6,TRUE)</f>
        <v>#N/A</v>
      </c>
      <c r="BA151" s="81" t="e">
        <f>VLOOKUP($W151,頭囲データ!$R$17:$W$18,3,TRUE)*$W151^3+VLOOKUP($W151,頭囲データ!$R$17:$W$18,4,TRUE)*$W151^2+VLOOKUP($W151,頭囲データ!$R$17:$W$18,5,TRUE)*$W151+VLOOKUP($W151,頭囲データ!$R$17:$W$18,6,TRUE)</f>
        <v>#N/A</v>
      </c>
      <c r="BB151" s="81" t="e">
        <f t="shared" si="134"/>
        <v>#N/A</v>
      </c>
      <c r="BC151" s="81" t="e">
        <f>VLOOKUP($W151,胸囲データ!$R$10:$W$11,3,TRUE)*$W151^3+VLOOKUP($W151,胸囲データ!$R$10:$W$11,4,TRUE)*$W151^2+VLOOKUP($W151,胸囲データ!$R$10:$W$11,5,TRUE)*$W151+VLOOKUP($W151,胸囲データ!$R$10:$W$11,6,TRUE)</f>
        <v>#N/A</v>
      </c>
      <c r="BD151" s="81" t="e">
        <f>VLOOKUP($W151,胸囲データ!$R$12:$W$16,3,TRUE)*$W151^3+VLOOKUP($W151,胸囲データ!$R$12:$W$16,4,TRUE)*$W151^2+VLOOKUP($W151,胸囲データ!$R$12:$W$16,5,TRUE)*$W151+VLOOKUP($W151,胸囲データ!$R$12:$W$16,6,TRUE)</f>
        <v>#N/A</v>
      </c>
      <c r="BE151" s="81" t="e">
        <f>VLOOKUP($W151,胸囲データ!$R$17:$W$18,3,TRUE)*$W151^3+VLOOKUP($W151,胸囲データ!$R$17:$W$18,4,TRUE)*$W151^2+VLOOKUP($W151,胸囲データ!$R$17:$W$18,5,TRUE)*$W151+VLOOKUP($W151,胸囲データ!$R$17:$W$18,6,TRUE)</f>
        <v>#N/A</v>
      </c>
    </row>
    <row r="152" spans="1:57" x14ac:dyDescent="0.15">
      <c r="A152" s="35"/>
      <c r="B152" s="36"/>
      <c r="C152" s="36"/>
      <c r="D152" s="49"/>
      <c r="E152" s="76"/>
      <c r="F152" s="51" t="str">
        <f t="shared" si="139"/>
        <v/>
      </c>
      <c r="G152" s="37" t="str">
        <f t="shared" si="135"/>
        <v/>
      </c>
      <c r="H152" s="38" t="str">
        <f>IF(ISERROR(W152),"",VLOOKUP(W152,成長曲線_データ!$D$4:$AC$214,3,TRUE))</f>
        <v/>
      </c>
      <c r="I152" s="39" t="str">
        <f t="shared" si="111"/>
        <v/>
      </c>
      <c r="J152" s="39" t="str">
        <f t="shared" si="112"/>
        <v/>
      </c>
      <c r="K152" s="39" t="str">
        <f t="shared" si="113"/>
        <v/>
      </c>
      <c r="L152" s="39" t="str">
        <f t="shared" si="87"/>
        <v/>
      </c>
      <c r="M152" s="39" t="str">
        <f t="shared" si="136"/>
        <v/>
      </c>
      <c r="N152" s="39" t="str">
        <f t="shared" si="137"/>
        <v/>
      </c>
      <c r="O152" s="40" t="str">
        <f t="shared" si="114"/>
        <v/>
      </c>
      <c r="P152" s="40" t="str">
        <f t="shared" si="115"/>
        <v/>
      </c>
      <c r="Q152" s="39" t="str">
        <f t="shared" si="116"/>
        <v/>
      </c>
      <c r="R152" s="39" t="str">
        <f t="shared" si="117"/>
        <v/>
      </c>
      <c r="S152" s="39" t="str">
        <f t="shared" si="138"/>
        <v/>
      </c>
      <c r="T152" s="41" t="str">
        <f t="shared" si="118"/>
        <v/>
      </c>
      <c r="V152" s="90"/>
      <c r="W152" s="79" t="e">
        <f t="shared" si="119"/>
        <v>#N/A</v>
      </c>
      <c r="X152" s="79" t="e">
        <f t="shared" si="120"/>
        <v>#N/A</v>
      </c>
      <c r="Y152" s="80" t="e">
        <f>IF(W152="","",VLOOKUP(W152,成長曲線_データ!$D$4:$AC$214,4,TRUE))</f>
        <v>#N/A</v>
      </c>
      <c r="Z152" s="80" t="e">
        <f>IF(W152="","",VLOOKUP(W152,成長曲線_データ!$D$4:$AC$214,12,TRUE))</f>
        <v>#N/A</v>
      </c>
      <c r="AA152" s="81" t="e">
        <f>IF(W152="","",VLOOKUP(W152,成長曲線_データ!$D$4:$AC$214,13,TRUE))</f>
        <v>#N/A</v>
      </c>
      <c r="AB152" s="94" t="e">
        <f t="shared" si="121"/>
        <v>#N/A</v>
      </c>
      <c r="AC152" s="82" t="e">
        <f>IF(W152&lt;0.5,NA(),VLOOKUP((W152+1/8),成長曲線_データ!$V$4:$AA$73,2,TRUE))</f>
        <v>#N/A</v>
      </c>
      <c r="AD152" s="82" t="e">
        <f>IF(W152&lt;1,NA(),VLOOKUP(W152,成長曲線_データ!$V$4:$AA$73,3,TRUE))</f>
        <v>#N/A</v>
      </c>
      <c r="AE152" s="82" t="e">
        <f>IF(W152&lt;=6.5,VLOOKUP(W152,頭囲データ!$C$10:$E$85,2,TRUE),NA())</f>
        <v>#N/A</v>
      </c>
      <c r="AF152" s="82" t="e">
        <f>IF(W152&lt;=6.5,VLOOKUP(W152,頭囲データ!$C$10:$E$85,3,TRUE),NA())</f>
        <v>#N/A</v>
      </c>
      <c r="AG152" s="89" t="str">
        <f>入力!F152&amp;"y"&amp;入力!G152&amp;"m"</f>
        <v>ym</v>
      </c>
      <c r="AH152" s="89" t="e">
        <f>IF(AND(入力!W152&gt;=1,入力!W152&lt;6,入力!B152&gt;=70,入力!B152&lt;=120),入力!B152,NA())</f>
        <v>#N/A</v>
      </c>
      <c r="AI152" s="89" t="e">
        <f>IF(AND(入力!W152&gt;=1,入力!W152&lt;6,入力!B152&gt;=70,入力!B152&lt;=120),入力!X152,NA())</f>
        <v>#N/A</v>
      </c>
      <c r="AJ152" s="89" t="e">
        <f>IF(AND(入力!W152&gt;=6,入力!B152&gt;=100,入力!B152&lt;=184),入力!B152,NA())</f>
        <v>#N/A</v>
      </c>
      <c r="AK152" s="89" t="e">
        <f>IF(AND(入力!W152&gt;=6,入力!B152&gt;=100,入力!B152&lt;=184),入力!X152,NA())</f>
        <v>#N/A</v>
      </c>
      <c r="AL152" s="82" t="e">
        <f t="shared" si="122"/>
        <v>#N/A</v>
      </c>
      <c r="AM152" s="82"/>
      <c r="AN152" s="80" t="e">
        <f t="shared" si="123"/>
        <v>#N/A</v>
      </c>
      <c r="AO152" s="80" t="e">
        <f t="shared" si="124"/>
        <v>#N/A</v>
      </c>
      <c r="AP152" s="81" t="e">
        <f t="shared" si="125"/>
        <v>#N/A</v>
      </c>
      <c r="AQ152" s="81" t="e">
        <f t="shared" si="126"/>
        <v>#VALUE!</v>
      </c>
      <c r="AR152" s="81" t="e">
        <f t="shared" si="127"/>
        <v>#N/A</v>
      </c>
      <c r="AS152" s="81" t="e">
        <f t="shared" si="128"/>
        <v>#N/A</v>
      </c>
      <c r="AT152" s="81" t="e">
        <f t="shared" si="129"/>
        <v>#N/A</v>
      </c>
      <c r="AU152" s="81" t="e">
        <f t="shared" si="130"/>
        <v>#N/A</v>
      </c>
      <c r="AV152" s="81" t="e">
        <f t="shared" si="131"/>
        <v>#N/A</v>
      </c>
      <c r="AW152" s="81" t="e">
        <f t="shared" si="132"/>
        <v>#N/A</v>
      </c>
      <c r="AX152" s="81" t="e">
        <f t="shared" si="133"/>
        <v>#N/A</v>
      </c>
      <c r="AY152" s="81" t="e">
        <f>VLOOKUP($W152,頭囲データ!$R$10:$W$11,3,TRUE)*$W152^3+VLOOKUP($W152,頭囲データ!$R$10:$W$11,4,TRUE)*$W152^2+VLOOKUP($W152,頭囲データ!$R$10:$W$11,5,TRUE)*$W152+VLOOKUP($W152,頭囲データ!$R$10:$W$11,6,TRUE)</f>
        <v>#N/A</v>
      </c>
      <c r="AZ152" s="81" t="e">
        <f>VLOOKUP($W152,頭囲データ!$R$12:$W$16,3,TRUE)*$W152^3+VLOOKUP($W152,頭囲データ!$R$12:$W$16,4,TRUE)*$W152^2+VLOOKUP($W152,頭囲データ!$R$12:$W$16,5,TRUE)*$W152+VLOOKUP($W152,頭囲データ!$R$12:$W$16,6,TRUE)</f>
        <v>#N/A</v>
      </c>
      <c r="BA152" s="81" t="e">
        <f>VLOOKUP($W152,頭囲データ!$R$17:$W$18,3,TRUE)*$W152^3+VLOOKUP($W152,頭囲データ!$R$17:$W$18,4,TRUE)*$W152^2+VLOOKUP($W152,頭囲データ!$R$17:$W$18,5,TRUE)*$W152+VLOOKUP($W152,頭囲データ!$R$17:$W$18,6,TRUE)</f>
        <v>#N/A</v>
      </c>
      <c r="BB152" s="81" t="e">
        <f t="shared" si="134"/>
        <v>#N/A</v>
      </c>
      <c r="BC152" s="81" t="e">
        <f>VLOOKUP($W152,胸囲データ!$R$10:$W$11,3,TRUE)*$W152^3+VLOOKUP($W152,胸囲データ!$R$10:$W$11,4,TRUE)*$W152^2+VLOOKUP($W152,胸囲データ!$R$10:$W$11,5,TRUE)*$W152+VLOOKUP($W152,胸囲データ!$R$10:$W$11,6,TRUE)</f>
        <v>#N/A</v>
      </c>
      <c r="BD152" s="81" t="e">
        <f>VLOOKUP($W152,胸囲データ!$R$12:$W$16,3,TRUE)*$W152^3+VLOOKUP($W152,胸囲データ!$R$12:$W$16,4,TRUE)*$W152^2+VLOOKUP($W152,胸囲データ!$R$12:$W$16,5,TRUE)*$W152+VLOOKUP($W152,胸囲データ!$R$12:$W$16,6,TRUE)</f>
        <v>#N/A</v>
      </c>
      <c r="BE152" s="81" t="e">
        <f>VLOOKUP($W152,胸囲データ!$R$17:$W$18,3,TRUE)*$W152^3+VLOOKUP($W152,胸囲データ!$R$17:$W$18,4,TRUE)*$W152^2+VLOOKUP($W152,胸囲データ!$R$17:$W$18,5,TRUE)*$W152+VLOOKUP($W152,胸囲データ!$R$17:$W$18,6,TRUE)</f>
        <v>#N/A</v>
      </c>
    </row>
    <row r="153" spans="1:57" x14ac:dyDescent="0.15">
      <c r="A153" s="35"/>
      <c r="B153" s="36"/>
      <c r="C153" s="36"/>
      <c r="D153" s="49"/>
      <c r="E153" s="76"/>
      <c r="F153" s="51" t="str">
        <f t="shared" si="139"/>
        <v/>
      </c>
      <c r="G153" s="37" t="str">
        <f t="shared" si="135"/>
        <v/>
      </c>
      <c r="H153" s="38" t="str">
        <f>IF(ISERROR(W153),"",VLOOKUP(W153,成長曲線_データ!$D$4:$AC$214,3,TRUE))</f>
        <v/>
      </c>
      <c r="I153" s="39" t="str">
        <f t="shared" si="111"/>
        <v/>
      </c>
      <c r="J153" s="39" t="str">
        <f t="shared" si="112"/>
        <v/>
      </c>
      <c r="K153" s="39" t="str">
        <f t="shared" si="113"/>
        <v/>
      </c>
      <c r="L153" s="39" t="str">
        <f t="shared" si="87"/>
        <v/>
      </c>
      <c r="M153" s="39" t="str">
        <f t="shared" si="136"/>
        <v/>
      </c>
      <c r="N153" s="39" t="str">
        <f t="shared" si="137"/>
        <v/>
      </c>
      <c r="O153" s="40" t="str">
        <f t="shared" si="114"/>
        <v/>
      </c>
      <c r="P153" s="40" t="str">
        <f t="shared" si="115"/>
        <v/>
      </c>
      <c r="Q153" s="39" t="str">
        <f t="shared" si="116"/>
        <v/>
      </c>
      <c r="R153" s="39" t="str">
        <f t="shared" si="117"/>
        <v/>
      </c>
      <c r="S153" s="39" t="str">
        <f t="shared" si="138"/>
        <v/>
      </c>
      <c r="T153" s="41" t="str">
        <f t="shared" si="118"/>
        <v/>
      </c>
      <c r="V153" s="90"/>
      <c r="W153" s="79" t="e">
        <f t="shared" si="119"/>
        <v>#N/A</v>
      </c>
      <c r="X153" s="79" t="e">
        <f t="shared" si="120"/>
        <v>#N/A</v>
      </c>
      <c r="Y153" s="80" t="e">
        <f>IF(W153="","",VLOOKUP(W153,成長曲線_データ!$D$4:$AC$214,4,TRUE))</f>
        <v>#N/A</v>
      </c>
      <c r="Z153" s="80" t="e">
        <f>IF(W153="","",VLOOKUP(W153,成長曲線_データ!$D$4:$AC$214,12,TRUE))</f>
        <v>#N/A</v>
      </c>
      <c r="AA153" s="81" t="e">
        <f>IF(W153="","",VLOOKUP(W153,成長曲線_データ!$D$4:$AC$214,13,TRUE))</f>
        <v>#N/A</v>
      </c>
      <c r="AB153" s="94" t="e">
        <f t="shared" si="121"/>
        <v>#N/A</v>
      </c>
      <c r="AC153" s="82" t="e">
        <f>IF(W153&lt;0.5,NA(),VLOOKUP((W153+1/8),成長曲線_データ!$V$4:$AA$73,2,TRUE))</f>
        <v>#N/A</v>
      </c>
      <c r="AD153" s="82" t="e">
        <f>IF(W153&lt;1,NA(),VLOOKUP(W153,成長曲線_データ!$V$4:$AA$73,3,TRUE))</f>
        <v>#N/A</v>
      </c>
      <c r="AE153" s="82" t="e">
        <f>IF(W153&lt;=6.5,VLOOKUP(W153,頭囲データ!$C$10:$E$85,2,TRUE),NA())</f>
        <v>#N/A</v>
      </c>
      <c r="AF153" s="82" t="e">
        <f>IF(W153&lt;=6.5,VLOOKUP(W153,頭囲データ!$C$10:$E$85,3,TRUE),NA())</f>
        <v>#N/A</v>
      </c>
      <c r="AG153" s="89" t="str">
        <f>入力!F153&amp;"y"&amp;入力!G153&amp;"m"</f>
        <v>ym</v>
      </c>
      <c r="AH153" s="89" t="e">
        <f>IF(AND(入力!W153&gt;=1,入力!W153&lt;6,入力!B153&gt;=70,入力!B153&lt;=120),入力!B153,NA())</f>
        <v>#N/A</v>
      </c>
      <c r="AI153" s="89" t="e">
        <f>IF(AND(入力!W153&gt;=1,入力!W153&lt;6,入力!B153&gt;=70,入力!B153&lt;=120),入力!X153,NA())</f>
        <v>#N/A</v>
      </c>
      <c r="AJ153" s="89" t="e">
        <f>IF(AND(入力!W153&gt;=6,入力!B153&gt;=100,入力!B153&lt;=184),入力!B153,NA())</f>
        <v>#N/A</v>
      </c>
      <c r="AK153" s="89" t="e">
        <f>IF(AND(入力!W153&gt;=6,入力!B153&gt;=100,入力!B153&lt;=184),入力!X153,NA())</f>
        <v>#N/A</v>
      </c>
      <c r="AL153" s="82" t="e">
        <f t="shared" si="122"/>
        <v>#N/A</v>
      </c>
      <c r="AM153" s="82"/>
      <c r="AN153" s="80" t="e">
        <f t="shared" si="123"/>
        <v>#N/A</v>
      </c>
      <c r="AO153" s="80" t="e">
        <f t="shared" si="124"/>
        <v>#N/A</v>
      </c>
      <c r="AP153" s="81" t="e">
        <f t="shared" si="125"/>
        <v>#N/A</v>
      </c>
      <c r="AQ153" s="81" t="e">
        <f t="shared" si="126"/>
        <v>#VALUE!</v>
      </c>
      <c r="AR153" s="81" t="e">
        <f t="shared" si="127"/>
        <v>#N/A</v>
      </c>
      <c r="AS153" s="81" t="e">
        <f t="shared" si="128"/>
        <v>#N/A</v>
      </c>
      <c r="AT153" s="81" t="e">
        <f t="shared" si="129"/>
        <v>#N/A</v>
      </c>
      <c r="AU153" s="81" t="e">
        <f t="shared" si="130"/>
        <v>#N/A</v>
      </c>
      <c r="AV153" s="81" t="e">
        <f t="shared" si="131"/>
        <v>#N/A</v>
      </c>
      <c r="AW153" s="81" t="e">
        <f t="shared" si="132"/>
        <v>#N/A</v>
      </c>
      <c r="AX153" s="81" t="e">
        <f t="shared" si="133"/>
        <v>#N/A</v>
      </c>
      <c r="AY153" s="81" t="e">
        <f>VLOOKUP($W153,頭囲データ!$R$10:$W$11,3,TRUE)*$W153^3+VLOOKUP($W153,頭囲データ!$R$10:$W$11,4,TRUE)*$W153^2+VLOOKUP($W153,頭囲データ!$R$10:$W$11,5,TRUE)*$W153+VLOOKUP($W153,頭囲データ!$R$10:$W$11,6,TRUE)</f>
        <v>#N/A</v>
      </c>
      <c r="AZ153" s="81" t="e">
        <f>VLOOKUP($W153,頭囲データ!$R$12:$W$16,3,TRUE)*$W153^3+VLOOKUP($W153,頭囲データ!$R$12:$W$16,4,TRUE)*$W153^2+VLOOKUP($W153,頭囲データ!$R$12:$W$16,5,TRUE)*$W153+VLOOKUP($W153,頭囲データ!$R$12:$W$16,6,TRUE)</f>
        <v>#N/A</v>
      </c>
      <c r="BA153" s="81" t="e">
        <f>VLOOKUP($W153,頭囲データ!$R$17:$W$18,3,TRUE)*$W153^3+VLOOKUP($W153,頭囲データ!$R$17:$W$18,4,TRUE)*$W153^2+VLOOKUP($W153,頭囲データ!$R$17:$W$18,5,TRUE)*$W153+VLOOKUP($W153,頭囲データ!$R$17:$W$18,6,TRUE)</f>
        <v>#N/A</v>
      </c>
      <c r="BB153" s="81" t="e">
        <f t="shared" si="134"/>
        <v>#N/A</v>
      </c>
      <c r="BC153" s="81" t="e">
        <f>VLOOKUP($W153,胸囲データ!$R$10:$W$11,3,TRUE)*$W153^3+VLOOKUP($W153,胸囲データ!$R$10:$W$11,4,TRUE)*$W153^2+VLOOKUP($W153,胸囲データ!$R$10:$W$11,5,TRUE)*$W153+VLOOKUP($W153,胸囲データ!$R$10:$W$11,6,TRUE)</f>
        <v>#N/A</v>
      </c>
      <c r="BD153" s="81" t="e">
        <f>VLOOKUP($W153,胸囲データ!$R$12:$W$16,3,TRUE)*$W153^3+VLOOKUP($W153,胸囲データ!$R$12:$W$16,4,TRUE)*$W153^2+VLOOKUP($W153,胸囲データ!$R$12:$W$16,5,TRUE)*$W153+VLOOKUP($W153,胸囲データ!$R$12:$W$16,6,TRUE)</f>
        <v>#N/A</v>
      </c>
      <c r="BE153" s="81" t="e">
        <f>VLOOKUP($W153,胸囲データ!$R$17:$W$18,3,TRUE)*$W153^3+VLOOKUP($W153,胸囲データ!$R$17:$W$18,4,TRUE)*$W153^2+VLOOKUP($W153,胸囲データ!$R$17:$W$18,5,TRUE)*$W153+VLOOKUP($W153,胸囲データ!$R$17:$W$18,6,TRUE)</f>
        <v>#N/A</v>
      </c>
    </row>
    <row r="154" spans="1:57" x14ac:dyDescent="0.15">
      <c r="A154" s="35"/>
      <c r="B154" s="36"/>
      <c r="C154" s="36"/>
      <c r="D154" s="49"/>
      <c r="E154" s="76"/>
      <c r="F154" s="51" t="str">
        <f t="shared" si="139"/>
        <v/>
      </c>
      <c r="G154" s="37" t="str">
        <f t="shared" si="135"/>
        <v/>
      </c>
      <c r="H154" s="38" t="str">
        <f>IF(ISERROR(W154),"",VLOOKUP(W154,成長曲線_データ!$D$4:$AC$214,3,TRUE))</f>
        <v/>
      </c>
      <c r="I154" s="39" t="str">
        <f t="shared" si="111"/>
        <v/>
      </c>
      <c r="J154" s="39" t="str">
        <f t="shared" si="112"/>
        <v/>
      </c>
      <c r="K154" s="39" t="str">
        <f t="shared" si="113"/>
        <v/>
      </c>
      <c r="L154" s="39" t="str">
        <f t="shared" si="87"/>
        <v/>
      </c>
      <c r="M154" s="39" t="str">
        <f t="shared" si="136"/>
        <v/>
      </c>
      <c r="N154" s="39" t="str">
        <f t="shared" si="137"/>
        <v/>
      </c>
      <c r="O154" s="40" t="str">
        <f t="shared" si="114"/>
        <v/>
      </c>
      <c r="P154" s="40" t="str">
        <f t="shared" si="115"/>
        <v/>
      </c>
      <c r="Q154" s="39" t="str">
        <f t="shared" si="116"/>
        <v/>
      </c>
      <c r="R154" s="39" t="str">
        <f t="shared" si="117"/>
        <v/>
      </c>
      <c r="S154" s="39" t="str">
        <f t="shared" si="138"/>
        <v/>
      </c>
      <c r="T154" s="41" t="str">
        <f t="shared" si="118"/>
        <v/>
      </c>
      <c r="V154" s="90"/>
      <c r="W154" s="79" t="e">
        <f t="shared" si="119"/>
        <v>#N/A</v>
      </c>
      <c r="X154" s="79" t="e">
        <f t="shared" si="120"/>
        <v>#N/A</v>
      </c>
      <c r="Y154" s="80" t="e">
        <f>IF(W154="","",VLOOKUP(W154,成長曲線_データ!$D$4:$AC$214,4,TRUE))</f>
        <v>#N/A</v>
      </c>
      <c r="Z154" s="80" t="e">
        <f>IF(W154="","",VLOOKUP(W154,成長曲線_データ!$D$4:$AC$214,12,TRUE))</f>
        <v>#N/A</v>
      </c>
      <c r="AA154" s="81" t="e">
        <f>IF(W154="","",VLOOKUP(W154,成長曲線_データ!$D$4:$AC$214,13,TRUE))</f>
        <v>#N/A</v>
      </c>
      <c r="AB154" s="94" t="e">
        <f t="shared" si="121"/>
        <v>#N/A</v>
      </c>
      <c r="AC154" s="82" t="e">
        <f>IF(W154&lt;0.5,NA(),VLOOKUP((W154+1/8),成長曲線_データ!$V$4:$AA$73,2,TRUE))</f>
        <v>#N/A</v>
      </c>
      <c r="AD154" s="82" t="e">
        <f>IF(W154&lt;1,NA(),VLOOKUP(W154,成長曲線_データ!$V$4:$AA$73,3,TRUE))</f>
        <v>#N/A</v>
      </c>
      <c r="AE154" s="82" t="e">
        <f>IF(W154&lt;=6.5,VLOOKUP(W154,頭囲データ!$C$10:$E$85,2,TRUE),NA())</f>
        <v>#N/A</v>
      </c>
      <c r="AF154" s="82" t="e">
        <f>IF(W154&lt;=6.5,VLOOKUP(W154,頭囲データ!$C$10:$E$85,3,TRUE),NA())</f>
        <v>#N/A</v>
      </c>
      <c r="AG154" s="89" t="str">
        <f>入力!F154&amp;"y"&amp;入力!G154&amp;"m"</f>
        <v>ym</v>
      </c>
      <c r="AH154" s="89" t="e">
        <f>IF(AND(入力!W154&gt;=1,入力!W154&lt;6,入力!B154&gt;=70,入力!B154&lt;=120),入力!B154,NA())</f>
        <v>#N/A</v>
      </c>
      <c r="AI154" s="89" t="e">
        <f>IF(AND(入力!W154&gt;=1,入力!W154&lt;6,入力!B154&gt;=70,入力!B154&lt;=120),入力!X154,NA())</f>
        <v>#N/A</v>
      </c>
      <c r="AJ154" s="89" t="e">
        <f>IF(AND(入力!W154&gt;=6,入力!B154&gt;=100,入力!B154&lt;=184),入力!B154,NA())</f>
        <v>#N/A</v>
      </c>
      <c r="AK154" s="89" t="e">
        <f>IF(AND(入力!W154&gt;=6,入力!B154&gt;=100,入力!B154&lt;=184),入力!X154,NA())</f>
        <v>#N/A</v>
      </c>
      <c r="AL154" s="82" t="e">
        <f t="shared" si="122"/>
        <v>#N/A</v>
      </c>
      <c r="AM154" s="82"/>
      <c r="AN154" s="80" t="e">
        <f t="shared" si="123"/>
        <v>#N/A</v>
      </c>
      <c r="AO154" s="80" t="e">
        <f t="shared" si="124"/>
        <v>#N/A</v>
      </c>
      <c r="AP154" s="81" t="e">
        <f t="shared" si="125"/>
        <v>#N/A</v>
      </c>
      <c r="AQ154" s="81" t="e">
        <f t="shared" si="126"/>
        <v>#VALUE!</v>
      </c>
      <c r="AR154" s="81" t="e">
        <f t="shared" si="127"/>
        <v>#N/A</v>
      </c>
      <c r="AS154" s="81" t="e">
        <f t="shared" si="128"/>
        <v>#N/A</v>
      </c>
      <c r="AT154" s="81" t="e">
        <f t="shared" si="129"/>
        <v>#N/A</v>
      </c>
      <c r="AU154" s="81" t="e">
        <f t="shared" si="130"/>
        <v>#N/A</v>
      </c>
      <c r="AV154" s="81" t="e">
        <f t="shared" si="131"/>
        <v>#N/A</v>
      </c>
      <c r="AW154" s="81" t="e">
        <f t="shared" si="132"/>
        <v>#N/A</v>
      </c>
      <c r="AX154" s="81" t="e">
        <f t="shared" si="133"/>
        <v>#N/A</v>
      </c>
      <c r="AY154" s="81" t="e">
        <f>VLOOKUP($W154,頭囲データ!$R$10:$W$11,3,TRUE)*$W154^3+VLOOKUP($W154,頭囲データ!$R$10:$W$11,4,TRUE)*$W154^2+VLOOKUP($W154,頭囲データ!$R$10:$W$11,5,TRUE)*$W154+VLOOKUP($W154,頭囲データ!$R$10:$W$11,6,TRUE)</f>
        <v>#N/A</v>
      </c>
      <c r="AZ154" s="81" t="e">
        <f>VLOOKUP($W154,頭囲データ!$R$12:$W$16,3,TRUE)*$W154^3+VLOOKUP($W154,頭囲データ!$R$12:$W$16,4,TRUE)*$W154^2+VLOOKUP($W154,頭囲データ!$R$12:$W$16,5,TRUE)*$W154+VLOOKUP($W154,頭囲データ!$R$12:$W$16,6,TRUE)</f>
        <v>#N/A</v>
      </c>
      <c r="BA154" s="81" t="e">
        <f>VLOOKUP($W154,頭囲データ!$R$17:$W$18,3,TRUE)*$W154^3+VLOOKUP($W154,頭囲データ!$R$17:$W$18,4,TRUE)*$W154^2+VLOOKUP($W154,頭囲データ!$R$17:$W$18,5,TRUE)*$W154+VLOOKUP($W154,頭囲データ!$R$17:$W$18,6,TRUE)</f>
        <v>#N/A</v>
      </c>
      <c r="BB154" s="81" t="e">
        <f t="shared" si="134"/>
        <v>#N/A</v>
      </c>
      <c r="BC154" s="81" t="e">
        <f>VLOOKUP($W154,胸囲データ!$R$10:$W$11,3,TRUE)*$W154^3+VLOOKUP($W154,胸囲データ!$R$10:$W$11,4,TRUE)*$W154^2+VLOOKUP($W154,胸囲データ!$R$10:$W$11,5,TRUE)*$W154+VLOOKUP($W154,胸囲データ!$R$10:$W$11,6,TRUE)</f>
        <v>#N/A</v>
      </c>
      <c r="BD154" s="81" t="e">
        <f>VLOOKUP($W154,胸囲データ!$R$12:$W$16,3,TRUE)*$W154^3+VLOOKUP($W154,胸囲データ!$R$12:$W$16,4,TRUE)*$W154^2+VLOOKUP($W154,胸囲データ!$R$12:$W$16,5,TRUE)*$W154+VLOOKUP($W154,胸囲データ!$R$12:$W$16,6,TRUE)</f>
        <v>#N/A</v>
      </c>
      <c r="BE154" s="81" t="e">
        <f>VLOOKUP($W154,胸囲データ!$R$17:$W$18,3,TRUE)*$W154^3+VLOOKUP($W154,胸囲データ!$R$17:$W$18,4,TRUE)*$W154^2+VLOOKUP($W154,胸囲データ!$R$17:$W$18,5,TRUE)*$W154+VLOOKUP($W154,胸囲データ!$R$17:$W$18,6,TRUE)</f>
        <v>#N/A</v>
      </c>
    </row>
    <row r="155" spans="1:57" x14ac:dyDescent="0.15">
      <c r="A155" s="35"/>
      <c r="B155" s="36"/>
      <c r="C155" s="36"/>
      <c r="D155" s="49"/>
      <c r="E155" s="76"/>
      <c r="F155" s="51" t="str">
        <f t="shared" si="139"/>
        <v/>
      </c>
      <c r="G155" s="37" t="str">
        <f t="shared" si="135"/>
        <v/>
      </c>
      <c r="H155" s="38" t="str">
        <f>IF(ISERROR(W155),"",VLOOKUP(W155,成長曲線_データ!$D$4:$AC$214,3,TRUE))</f>
        <v/>
      </c>
      <c r="I155" s="39" t="str">
        <f t="shared" si="111"/>
        <v/>
      </c>
      <c r="J155" s="39" t="str">
        <f t="shared" si="112"/>
        <v/>
      </c>
      <c r="K155" s="39" t="str">
        <f t="shared" si="113"/>
        <v/>
      </c>
      <c r="L155" s="39" t="str">
        <f t="shared" si="87"/>
        <v/>
      </c>
      <c r="M155" s="39" t="str">
        <f t="shared" si="136"/>
        <v/>
      </c>
      <c r="N155" s="39" t="str">
        <f t="shared" si="137"/>
        <v/>
      </c>
      <c r="O155" s="40" t="str">
        <f t="shared" si="114"/>
        <v/>
      </c>
      <c r="P155" s="40" t="str">
        <f t="shared" si="115"/>
        <v/>
      </c>
      <c r="Q155" s="39" t="str">
        <f t="shared" si="116"/>
        <v/>
      </c>
      <c r="R155" s="39" t="str">
        <f t="shared" si="117"/>
        <v/>
      </c>
      <c r="S155" s="39" t="str">
        <f t="shared" si="138"/>
        <v/>
      </c>
      <c r="T155" s="41" t="str">
        <f t="shared" si="118"/>
        <v/>
      </c>
      <c r="V155" s="90"/>
      <c r="W155" s="79" t="e">
        <f t="shared" si="119"/>
        <v>#N/A</v>
      </c>
      <c r="X155" s="79" t="e">
        <f t="shared" si="120"/>
        <v>#N/A</v>
      </c>
      <c r="Y155" s="80" t="e">
        <f>IF(W155="","",VLOOKUP(W155,成長曲線_データ!$D$4:$AC$214,4,TRUE))</f>
        <v>#N/A</v>
      </c>
      <c r="Z155" s="80" t="e">
        <f>IF(W155="","",VLOOKUP(W155,成長曲線_データ!$D$4:$AC$214,12,TRUE))</f>
        <v>#N/A</v>
      </c>
      <c r="AA155" s="81" t="e">
        <f>IF(W155="","",VLOOKUP(W155,成長曲線_データ!$D$4:$AC$214,13,TRUE))</f>
        <v>#N/A</v>
      </c>
      <c r="AB155" s="94" t="e">
        <f t="shared" si="121"/>
        <v>#N/A</v>
      </c>
      <c r="AC155" s="82" t="e">
        <f>IF(W155&lt;0.5,NA(),VLOOKUP((W155+1/8),成長曲線_データ!$V$4:$AA$73,2,TRUE))</f>
        <v>#N/A</v>
      </c>
      <c r="AD155" s="82" t="e">
        <f>IF(W155&lt;1,NA(),VLOOKUP(W155,成長曲線_データ!$V$4:$AA$73,3,TRUE))</f>
        <v>#N/A</v>
      </c>
      <c r="AE155" s="82" t="e">
        <f>IF(W155&lt;=6.5,VLOOKUP(W155,頭囲データ!$C$10:$E$85,2,TRUE),NA())</f>
        <v>#N/A</v>
      </c>
      <c r="AF155" s="82" t="e">
        <f>IF(W155&lt;=6.5,VLOOKUP(W155,頭囲データ!$C$10:$E$85,3,TRUE),NA())</f>
        <v>#N/A</v>
      </c>
      <c r="AG155" s="89" t="str">
        <f>入力!F155&amp;"y"&amp;入力!G155&amp;"m"</f>
        <v>ym</v>
      </c>
      <c r="AH155" s="89" t="e">
        <f>IF(AND(入力!W155&gt;=1,入力!W155&lt;6,入力!B155&gt;=70,入力!B155&lt;=120),入力!B155,NA())</f>
        <v>#N/A</v>
      </c>
      <c r="AI155" s="89" t="e">
        <f>IF(AND(入力!W155&gt;=1,入力!W155&lt;6,入力!B155&gt;=70,入力!B155&lt;=120),入力!X155,NA())</f>
        <v>#N/A</v>
      </c>
      <c r="AJ155" s="89" t="e">
        <f>IF(AND(入力!W155&gt;=6,入力!B155&gt;=100,入力!B155&lt;=184),入力!B155,NA())</f>
        <v>#N/A</v>
      </c>
      <c r="AK155" s="89" t="e">
        <f>IF(AND(入力!W155&gt;=6,入力!B155&gt;=100,入力!B155&lt;=184),入力!X155,NA())</f>
        <v>#N/A</v>
      </c>
      <c r="AL155" s="82" t="e">
        <f t="shared" si="122"/>
        <v>#N/A</v>
      </c>
      <c r="AM155" s="82"/>
      <c r="AN155" s="80" t="e">
        <f t="shared" si="123"/>
        <v>#N/A</v>
      </c>
      <c r="AO155" s="80" t="e">
        <f t="shared" si="124"/>
        <v>#N/A</v>
      </c>
      <c r="AP155" s="81" t="e">
        <f t="shared" si="125"/>
        <v>#N/A</v>
      </c>
      <c r="AQ155" s="81" t="e">
        <f t="shared" si="126"/>
        <v>#VALUE!</v>
      </c>
      <c r="AR155" s="81" t="e">
        <f t="shared" si="127"/>
        <v>#N/A</v>
      </c>
      <c r="AS155" s="81" t="e">
        <f t="shared" si="128"/>
        <v>#N/A</v>
      </c>
      <c r="AT155" s="81" t="e">
        <f t="shared" si="129"/>
        <v>#N/A</v>
      </c>
      <c r="AU155" s="81" t="e">
        <f t="shared" si="130"/>
        <v>#N/A</v>
      </c>
      <c r="AV155" s="81" t="e">
        <f t="shared" si="131"/>
        <v>#N/A</v>
      </c>
      <c r="AW155" s="81" t="e">
        <f t="shared" si="132"/>
        <v>#N/A</v>
      </c>
      <c r="AX155" s="81" t="e">
        <f t="shared" si="133"/>
        <v>#N/A</v>
      </c>
      <c r="AY155" s="81" t="e">
        <f>VLOOKUP($W155,頭囲データ!$R$10:$W$11,3,TRUE)*$W155^3+VLOOKUP($W155,頭囲データ!$R$10:$W$11,4,TRUE)*$W155^2+VLOOKUP($W155,頭囲データ!$R$10:$W$11,5,TRUE)*$W155+VLOOKUP($W155,頭囲データ!$R$10:$W$11,6,TRUE)</f>
        <v>#N/A</v>
      </c>
      <c r="AZ155" s="81" t="e">
        <f>VLOOKUP($W155,頭囲データ!$R$12:$W$16,3,TRUE)*$W155^3+VLOOKUP($W155,頭囲データ!$R$12:$W$16,4,TRUE)*$W155^2+VLOOKUP($W155,頭囲データ!$R$12:$W$16,5,TRUE)*$W155+VLOOKUP($W155,頭囲データ!$R$12:$W$16,6,TRUE)</f>
        <v>#N/A</v>
      </c>
      <c r="BA155" s="81" t="e">
        <f>VLOOKUP($W155,頭囲データ!$R$17:$W$18,3,TRUE)*$W155^3+VLOOKUP($W155,頭囲データ!$R$17:$W$18,4,TRUE)*$W155^2+VLOOKUP($W155,頭囲データ!$R$17:$W$18,5,TRUE)*$W155+VLOOKUP($W155,頭囲データ!$R$17:$W$18,6,TRUE)</f>
        <v>#N/A</v>
      </c>
      <c r="BB155" s="81" t="e">
        <f t="shared" si="134"/>
        <v>#N/A</v>
      </c>
      <c r="BC155" s="81" t="e">
        <f>VLOOKUP($W155,胸囲データ!$R$10:$W$11,3,TRUE)*$W155^3+VLOOKUP($W155,胸囲データ!$R$10:$W$11,4,TRUE)*$W155^2+VLOOKUP($W155,胸囲データ!$R$10:$W$11,5,TRUE)*$W155+VLOOKUP($W155,胸囲データ!$R$10:$W$11,6,TRUE)</f>
        <v>#N/A</v>
      </c>
      <c r="BD155" s="81" t="e">
        <f>VLOOKUP($W155,胸囲データ!$R$12:$W$16,3,TRUE)*$W155^3+VLOOKUP($W155,胸囲データ!$R$12:$W$16,4,TRUE)*$W155^2+VLOOKUP($W155,胸囲データ!$R$12:$W$16,5,TRUE)*$W155+VLOOKUP($W155,胸囲データ!$R$12:$W$16,6,TRUE)</f>
        <v>#N/A</v>
      </c>
      <c r="BE155" s="81" t="e">
        <f>VLOOKUP($W155,胸囲データ!$R$17:$W$18,3,TRUE)*$W155^3+VLOOKUP($W155,胸囲データ!$R$17:$W$18,4,TRUE)*$W155^2+VLOOKUP($W155,胸囲データ!$R$17:$W$18,5,TRUE)*$W155+VLOOKUP($W155,胸囲データ!$R$17:$W$18,6,TRUE)</f>
        <v>#N/A</v>
      </c>
    </row>
    <row r="156" spans="1:57" ht="15" thickBot="1" x14ac:dyDescent="0.2">
      <c r="A156" s="42"/>
      <c r="B156" s="43"/>
      <c r="C156" s="43"/>
      <c r="D156" s="50"/>
      <c r="E156" s="77"/>
      <c r="F156" s="52" t="str">
        <f t="shared" si="139"/>
        <v/>
      </c>
      <c r="G156" s="44" t="str">
        <f t="shared" si="135"/>
        <v/>
      </c>
      <c r="H156" s="45" t="str">
        <f>IF(ISERROR(W156),"",VLOOKUP(W156,成長曲線_データ!$D$4:$AC$214,3,TRUE))</f>
        <v/>
      </c>
      <c r="I156" s="46" t="str">
        <f t="shared" si="111"/>
        <v/>
      </c>
      <c r="J156" s="46" t="str">
        <f t="shared" si="112"/>
        <v/>
      </c>
      <c r="K156" s="46" t="str">
        <f t="shared" si="113"/>
        <v/>
      </c>
      <c r="L156" s="46" t="str">
        <f t="shared" si="87"/>
        <v/>
      </c>
      <c r="M156" s="46" t="str">
        <f t="shared" si="136"/>
        <v/>
      </c>
      <c r="N156" s="46" t="str">
        <f t="shared" si="137"/>
        <v/>
      </c>
      <c r="O156" s="47" t="str">
        <f t="shared" si="114"/>
        <v/>
      </c>
      <c r="P156" s="47" t="str">
        <f t="shared" si="115"/>
        <v/>
      </c>
      <c r="Q156" s="46" t="str">
        <f t="shared" si="116"/>
        <v/>
      </c>
      <c r="R156" s="46" t="str">
        <f t="shared" si="117"/>
        <v/>
      </c>
      <c r="S156" s="46" t="str">
        <f t="shared" si="138"/>
        <v/>
      </c>
      <c r="T156" s="48" t="str">
        <f t="shared" si="118"/>
        <v/>
      </c>
      <c r="V156" s="90"/>
      <c r="W156" s="79" t="e">
        <f t="shared" si="119"/>
        <v>#N/A</v>
      </c>
      <c r="X156" s="79" t="e">
        <f t="shared" si="120"/>
        <v>#N/A</v>
      </c>
      <c r="Y156" s="80" t="e">
        <f>IF(W156="","",VLOOKUP(W156,成長曲線_データ!$D$4:$AC$214,4,TRUE))</f>
        <v>#N/A</v>
      </c>
      <c r="Z156" s="80" t="e">
        <f>IF(W156="","",VLOOKUP(W156,成長曲線_データ!$D$4:$AC$214,12,TRUE))</f>
        <v>#N/A</v>
      </c>
      <c r="AA156" s="81" t="e">
        <f>IF(W156="","",VLOOKUP(W156,成長曲線_データ!$D$4:$AC$214,13,TRUE))</f>
        <v>#N/A</v>
      </c>
      <c r="AB156" s="94" t="e">
        <f t="shared" si="121"/>
        <v>#N/A</v>
      </c>
      <c r="AC156" s="82" t="e">
        <f>IF(W156&lt;0.5,NA(),VLOOKUP((W156+1/8),成長曲線_データ!$V$4:$AA$73,2,TRUE))</f>
        <v>#N/A</v>
      </c>
      <c r="AD156" s="82" t="e">
        <f>IF(W156&lt;1,NA(),VLOOKUP(W156,成長曲線_データ!$V$4:$AA$73,3,TRUE))</f>
        <v>#N/A</v>
      </c>
      <c r="AE156" s="82" t="e">
        <f>IF(W156&lt;=6.5,VLOOKUP(W156,頭囲データ!$C$10:$E$85,2,TRUE),NA())</f>
        <v>#N/A</v>
      </c>
      <c r="AF156" s="82" t="e">
        <f>IF(W156&lt;=6.5,VLOOKUP(W156,頭囲データ!$C$10:$E$85,3,TRUE),NA())</f>
        <v>#N/A</v>
      </c>
      <c r="AG156" s="89" t="str">
        <f>入力!F156&amp;"y"&amp;入力!G156&amp;"m"</f>
        <v>ym</v>
      </c>
      <c r="AH156" s="89" t="e">
        <f>IF(AND(入力!W156&gt;=1,入力!W156&lt;6,入力!B156&gt;=70,入力!B156&lt;=120),入力!B156,NA())</f>
        <v>#N/A</v>
      </c>
      <c r="AI156" s="89" t="e">
        <f>IF(AND(入力!W156&gt;=1,入力!W156&lt;6,入力!B156&gt;=70,入力!B156&lt;=120),入力!X156,NA())</f>
        <v>#N/A</v>
      </c>
      <c r="AJ156" s="89" t="e">
        <f>IF(AND(入力!W156&gt;=6,入力!B156&gt;=100,入力!B156&lt;=184),入力!B156,NA())</f>
        <v>#N/A</v>
      </c>
      <c r="AK156" s="89" t="e">
        <f>IF(AND(入力!W156&gt;=6,入力!B156&gt;=100,入力!B156&lt;=184),入力!X156,NA())</f>
        <v>#N/A</v>
      </c>
      <c r="AL156" s="82" t="e">
        <f t="shared" si="122"/>
        <v>#N/A</v>
      </c>
      <c r="AM156" s="82"/>
      <c r="AN156" s="80" t="e">
        <f t="shared" si="123"/>
        <v>#N/A</v>
      </c>
      <c r="AO156" s="80" t="e">
        <f t="shared" si="124"/>
        <v>#N/A</v>
      </c>
      <c r="AP156" s="81" t="e">
        <f t="shared" si="125"/>
        <v>#N/A</v>
      </c>
      <c r="AQ156" s="81" t="e">
        <f t="shared" si="126"/>
        <v>#VALUE!</v>
      </c>
      <c r="AR156" s="81" t="e">
        <f t="shared" si="127"/>
        <v>#N/A</v>
      </c>
      <c r="AS156" s="81" t="e">
        <f t="shared" si="128"/>
        <v>#N/A</v>
      </c>
      <c r="AT156" s="81" t="e">
        <f t="shared" si="129"/>
        <v>#N/A</v>
      </c>
      <c r="AU156" s="81" t="e">
        <f t="shared" si="130"/>
        <v>#N/A</v>
      </c>
      <c r="AV156" s="81" t="e">
        <f t="shared" si="131"/>
        <v>#N/A</v>
      </c>
      <c r="AW156" s="81" t="e">
        <f t="shared" si="132"/>
        <v>#N/A</v>
      </c>
      <c r="AX156" s="81" t="e">
        <f t="shared" si="133"/>
        <v>#N/A</v>
      </c>
      <c r="AY156" s="81" t="e">
        <f>VLOOKUP($W156,頭囲データ!$R$10:$W$11,3,TRUE)*$W156^3+VLOOKUP($W156,頭囲データ!$R$10:$W$11,4,TRUE)*$W156^2+VLOOKUP($W156,頭囲データ!$R$10:$W$11,5,TRUE)*$W156+VLOOKUP($W156,頭囲データ!$R$10:$W$11,6,TRUE)</f>
        <v>#N/A</v>
      </c>
      <c r="AZ156" s="81" t="e">
        <f>VLOOKUP($W156,頭囲データ!$R$12:$W$16,3,TRUE)*$W156^3+VLOOKUP($W156,頭囲データ!$R$12:$W$16,4,TRUE)*$W156^2+VLOOKUP($W156,頭囲データ!$R$12:$W$16,5,TRUE)*$W156+VLOOKUP($W156,頭囲データ!$R$12:$W$16,6,TRUE)</f>
        <v>#N/A</v>
      </c>
      <c r="BA156" s="81" t="e">
        <f>VLOOKUP($W156,頭囲データ!$R$17:$W$18,3,TRUE)*$W156^3+VLOOKUP($W156,頭囲データ!$R$17:$W$18,4,TRUE)*$W156^2+VLOOKUP($W156,頭囲データ!$R$17:$W$18,5,TRUE)*$W156+VLOOKUP($W156,頭囲データ!$R$17:$W$18,6,TRUE)</f>
        <v>#N/A</v>
      </c>
      <c r="BB156" s="81" t="e">
        <f t="shared" si="134"/>
        <v>#N/A</v>
      </c>
      <c r="BC156" s="81" t="e">
        <f>VLOOKUP($W156,胸囲データ!$R$10:$W$11,3,TRUE)*$W156^3+VLOOKUP($W156,胸囲データ!$R$10:$W$11,4,TRUE)*$W156^2+VLOOKUP($W156,胸囲データ!$R$10:$W$11,5,TRUE)*$W156+VLOOKUP($W156,胸囲データ!$R$10:$W$11,6,TRUE)</f>
        <v>#N/A</v>
      </c>
      <c r="BD156" s="81" t="e">
        <f>VLOOKUP($W156,胸囲データ!$R$12:$W$16,3,TRUE)*$W156^3+VLOOKUP($W156,胸囲データ!$R$12:$W$16,4,TRUE)*$W156^2+VLOOKUP($W156,胸囲データ!$R$12:$W$16,5,TRUE)*$W156+VLOOKUP($W156,胸囲データ!$R$12:$W$16,6,TRUE)</f>
        <v>#N/A</v>
      </c>
      <c r="BE156" s="81" t="e">
        <f>VLOOKUP($W156,胸囲データ!$R$17:$W$18,3,TRUE)*$W156^3+VLOOKUP($W156,胸囲データ!$R$17:$W$18,4,TRUE)*$W156^2+VLOOKUP($W156,胸囲データ!$R$17:$W$18,5,TRUE)*$W156+VLOOKUP($W156,胸囲データ!$R$17:$W$18,6,TRUE)</f>
        <v>#N/A</v>
      </c>
    </row>
    <row r="157" spans="1:57" ht="15" thickTop="1" x14ac:dyDescent="0.15"/>
  </sheetData>
  <protectedRanges>
    <protectedRange sqref="I1:I2" name="両親の身長"/>
    <protectedRange sqref="A7:D156 E7:E21 E23:E156" name="計測日など"/>
    <protectedRange sqref="B1:C3" name="名前など"/>
  </protectedRanges>
  <mergeCells count="14">
    <mergeCell ref="S5:T5"/>
    <mergeCell ref="A5:A6"/>
    <mergeCell ref="F5:F6"/>
    <mergeCell ref="G5:G6"/>
    <mergeCell ref="O5:O6"/>
    <mergeCell ref="Q5:R5"/>
    <mergeCell ref="L1:M1"/>
    <mergeCell ref="L2:M2"/>
    <mergeCell ref="L3:M3"/>
    <mergeCell ref="B1:C1"/>
    <mergeCell ref="B2:C2"/>
    <mergeCell ref="B3:C3"/>
    <mergeCell ref="F1:H1"/>
    <mergeCell ref="F2:H2"/>
  </mergeCells>
  <phoneticPr fontId="1"/>
  <conditionalFormatting sqref="P7:P156">
    <cfRule type="cellIs" dxfId="4" priority="33" operator="notBetween">
      <formula>-2</formula>
      <formula>2</formula>
    </cfRule>
  </conditionalFormatting>
  <conditionalFormatting sqref="T7:T156 R7:R156 T27:V156 U7:U26 V14:V26">
    <cfRule type="cellIs" dxfId="3" priority="32" operator="notBetween">
      <formula>-20</formula>
      <formula>20</formula>
    </cfRule>
  </conditionalFormatting>
  <conditionalFormatting sqref="I7:I156">
    <cfRule type="cellIs" dxfId="2" priority="5" operator="notBetween">
      <formula>-2</formula>
      <formula>2</formula>
    </cfRule>
  </conditionalFormatting>
  <conditionalFormatting sqref="K7:K156 M7:N8 M10:N155 M9">
    <cfRule type="cellIs" dxfId="1" priority="4" operator="notBetween">
      <formula>-2</formula>
      <formula>2</formula>
    </cfRule>
  </conditionalFormatting>
  <conditionalFormatting sqref="N7:N156">
    <cfRule type="cellIs" dxfId="0" priority="1" operator="notBetween">
      <formula>-2</formula>
      <formula>2</formula>
    </cfRule>
  </conditionalFormatting>
  <dataValidations count="1">
    <dataValidation type="list" allowBlank="1" showInputMessage="1" showErrorMessage="1" sqref="B2">
      <formula1>"男,女"</formula1>
    </dataValidation>
  </dataValidations>
  <printOptions horizontalCentered="1"/>
  <pageMargins left="0.13" right="0.13" top="0.75000000000000011" bottom="0.75000000000000011" header="0.31" footer="0.31"/>
  <pageSetup paperSize="0" orientation="landscape"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2"/>
  <sheetViews>
    <sheetView topLeftCell="A55" workbookViewId="0">
      <selection activeCell="K41" sqref="K41"/>
    </sheetView>
  </sheetViews>
  <sheetFormatPr baseColWidth="12" defaultColWidth="8.83203125" defaultRowHeight="14" x14ac:dyDescent="0.15"/>
  <sheetData>
    <row r="1" spans="1:15" x14ac:dyDescent="0.15">
      <c r="A1" t="s">
        <v>74</v>
      </c>
      <c r="D1">
        <v>0.85</v>
      </c>
      <c r="E1">
        <v>0.3</v>
      </c>
      <c r="F1">
        <v>0.8</v>
      </c>
      <c r="G1">
        <v>0.85</v>
      </c>
      <c r="H1">
        <v>1</v>
      </c>
      <c r="I1">
        <v>1.1499999999999999</v>
      </c>
      <c r="J1">
        <v>1.2</v>
      </c>
      <c r="K1">
        <v>1.3</v>
      </c>
      <c r="O1">
        <f>171+IF(入力!B2="男",13,0)</f>
        <v>171</v>
      </c>
    </row>
    <row r="2" spans="1:15" x14ac:dyDescent="0.15">
      <c r="A2" t="s">
        <v>37</v>
      </c>
      <c r="B2" s="24" t="s">
        <v>36</v>
      </c>
      <c r="C2" s="27" t="s">
        <v>138</v>
      </c>
      <c r="D2" s="1" t="s">
        <v>136</v>
      </c>
      <c r="E2" s="1" t="s">
        <v>137</v>
      </c>
      <c r="F2" s="23" t="s">
        <v>78</v>
      </c>
      <c r="G2" s="1" t="s">
        <v>77</v>
      </c>
      <c r="H2" s="1" t="s">
        <v>73</v>
      </c>
      <c r="I2" s="1" t="s">
        <v>76</v>
      </c>
      <c r="J2" s="1" t="s">
        <v>72</v>
      </c>
      <c r="K2" s="1" t="s">
        <v>71</v>
      </c>
      <c r="M2" t="str">
        <f>"幼児用　肥満度判定曲線("&amp;入力!B2&amp;")　(身長70～120cm)"</f>
        <v>幼児用　肥満度判定曲線()　(身長70～120cm)</v>
      </c>
      <c r="O2" t="str">
        <f>"学童用　肥満度判定曲線("&amp;入力!B2&amp;")　(身長101～"&amp;$O$1&amp;"cm)"</f>
        <v>学童用　肥満度判定曲線()　(身長101～171cm)</v>
      </c>
    </row>
    <row r="3" spans="1:15" x14ac:dyDescent="0.15">
      <c r="A3">
        <v>69</v>
      </c>
      <c r="B3">
        <f>2+IF(入力!$B$2="男",0,1)*6</f>
        <v>8</v>
      </c>
      <c r="C3">
        <f t="shared" ref="C3:C33" si="0">INDEX(ito,$B3,6)*$A3^3+INDEX(ito,$B3,7)*$A3^2+INDEX(ito,$B3,8)*$A3+INDEX(ito,$B3,9)</f>
        <v>8.0706900000000026</v>
      </c>
      <c r="D3">
        <f t="shared" ref="D3:K18" si="1">$C3*D$1</f>
        <v>6.8600865000000022</v>
      </c>
      <c r="E3">
        <f t="shared" ref="E3:K17" si="2">$C3*E$1</f>
        <v>2.4212070000000008</v>
      </c>
      <c r="F3">
        <f t="shared" si="2"/>
        <v>6.4565520000000021</v>
      </c>
      <c r="G3">
        <f t="shared" si="2"/>
        <v>6.8600865000000022</v>
      </c>
      <c r="H3">
        <f t="shared" si="2"/>
        <v>8.0706900000000026</v>
      </c>
      <c r="I3">
        <f t="shared" si="2"/>
        <v>9.2812935000000021</v>
      </c>
      <c r="J3">
        <f t="shared" si="2"/>
        <v>9.6848280000000031</v>
      </c>
      <c r="K3">
        <f t="shared" si="2"/>
        <v>10.491897000000003</v>
      </c>
    </row>
    <row r="4" spans="1:15" x14ac:dyDescent="0.15">
      <c r="A4">
        <f>A3+1</f>
        <v>70</v>
      </c>
      <c r="B4">
        <f>2+IF(入力!$B$2="男",0,1)*6</f>
        <v>8</v>
      </c>
      <c r="C4">
        <f t="shared" si="0"/>
        <v>8.2310000000000016</v>
      </c>
      <c r="D4">
        <f t="shared" si="1"/>
        <v>6.9963500000000014</v>
      </c>
      <c r="E4">
        <f t="shared" si="2"/>
        <v>2.4693000000000005</v>
      </c>
      <c r="F4">
        <f t="shared" si="2"/>
        <v>6.5848000000000013</v>
      </c>
      <c r="G4">
        <f t="shared" si="2"/>
        <v>6.9963500000000014</v>
      </c>
      <c r="H4">
        <f t="shared" si="2"/>
        <v>8.2310000000000016</v>
      </c>
      <c r="I4">
        <f t="shared" si="2"/>
        <v>9.4656500000000019</v>
      </c>
      <c r="J4">
        <f t="shared" si="2"/>
        <v>9.877200000000002</v>
      </c>
      <c r="K4">
        <f t="shared" si="2"/>
        <v>10.700300000000002</v>
      </c>
    </row>
    <row r="5" spans="1:15" x14ac:dyDescent="0.15">
      <c r="A5">
        <f t="shared" ref="A5:A54" si="3">A4+1</f>
        <v>71</v>
      </c>
      <c r="B5">
        <f>2+IF(入力!$B$2="男",0,1)*6</f>
        <v>8</v>
      </c>
      <c r="C5">
        <f t="shared" si="0"/>
        <v>8.3962900000000023</v>
      </c>
      <c r="D5">
        <f t="shared" si="1"/>
        <v>7.1368465000000016</v>
      </c>
      <c r="E5">
        <f t="shared" si="2"/>
        <v>2.5188870000000008</v>
      </c>
      <c r="F5">
        <f t="shared" si="2"/>
        <v>6.7170320000000023</v>
      </c>
      <c r="G5">
        <f t="shared" si="2"/>
        <v>7.1368465000000016</v>
      </c>
      <c r="H5">
        <f t="shared" si="2"/>
        <v>8.3962900000000023</v>
      </c>
      <c r="I5">
        <f t="shared" si="2"/>
        <v>9.655733500000002</v>
      </c>
      <c r="J5">
        <f t="shared" si="2"/>
        <v>10.075548000000003</v>
      </c>
      <c r="K5">
        <f t="shared" si="2"/>
        <v>10.915177000000003</v>
      </c>
    </row>
    <row r="6" spans="1:15" x14ac:dyDescent="0.15">
      <c r="A6">
        <f t="shared" si="3"/>
        <v>72</v>
      </c>
      <c r="B6">
        <f>2+IF(入力!$B$2="男",0,1)*6</f>
        <v>8</v>
      </c>
      <c r="C6">
        <f t="shared" si="0"/>
        <v>8.5665600000000026</v>
      </c>
      <c r="D6">
        <f t="shared" si="1"/>
        <v>7.281576000000002</v>
      </c>
      <c r="E6">
        <f t="shared" si="2"/>
        <v>2.5699680000000007</v>
      </c>
      <c r="F6">
        <f t="shared" si="2"/>
        <v>6.8532480000000024</v>
      </c>
      <c r="G6">
        <f t="shared" si="2"/>
        <v>7.281576000000002</v>
      </c>
      <c r="H6">
        <f t="shared" si="2"/>
        <v>8.5665600000000026</v>
      </c>
      <c r="I6">
        <f t="shared" si="2"/>
        <v>9.8515440000000023</v>
      </c>
      <c r="J6">
        <f t="shared" si="2"/>
        <v>10.279872000000003</v>
      </c>
      <c r="K6">
        <f t="shared" si="2"/>
        <v>11.136528000000004</v>
      </c>
    </row>
    <row r="7" spans="1:15" x14ac:dyDescent="0.15">
      <c r="A7">
        <f t="shared" si="3"/>
        <v>73</v>
      </c>
      <c r="B7">
        <f>2+IF(入力!$B$2="男",0,1)*6</f>
        <v>8</v>
      </c>
      <c r="C7">
        <f t="shared" si="0"/>
        <v>8.7418100000000027</v>
      </c>
      <c r="D7">
        <f t="shared" si="1"/>
        <v>7.4305385000000017</v>
      </c>
      <c r="E7">
        <f t="shared" si="2"/>
        <v>2.6225430000000007</v>
      </c>
      <c r="F7">
        <f t="shared" si="2"/>
        <v>6.9934480000000026</v>
      </c>
      <c r="G7">
        <f t="shared" si="2"/>
        <v>7.4305385000000017</v>
      </c>
      <c r="H7">
        <f t="shared" si="2"/>
        <v>8.7418100000000027</v>
      </c>
      <c r="I7">
        <f t="shared" si="2"/>
        <v>10.053081500000003</v>
      </c>
      <c r="J7">
        <f t="shared" si="2"/>
        <v>10.490172000000003</v>
      </c>
      <c r="K7">
        <f t="shared" si="2"/>
        <v>11.364353000000005</v>
      </c>
    </row>
    <row r="8" spans="1:15" x14ac:dyDescent="0.15">
      <c r="A8">
        <f t="shared" si="3"/>
        <v>74</v>
      </c>
      <c r="B8">
        <f>2+IF(入力!$B$2="男",0,1)*6</f>
        <v>8</v>
      </c>
      <c r="C8">
        <f t="shared" si="0"/>
        <v>8.9220400000000026</v>
      </c>
      <c r="D8">
        <f t="shared" si="1"/>
        <v>7.5837340000000024</v>
      </c>
      <c r="E8">
        <f t="shared" si="2"/>
        <v>2.6766120000000009</v>
      </c>
      <c r="F8">
        <f t="shared" si="2"/>
        <v>7.1376320000000026</v>
      </c>
      <c r="G8">
        <f t="shared" si="2"/>
        <v>7.5837340000000024</v>
      </c>
      <c r="H8">
        <f t="shared" si="2"/>
        <v>8.9220400000000026</v>
      </c>
      <c r="I8">
        <f t="shared" si="2"/>
        <v>10.260346000000002</v>
      </c>
      <c r="J8">
        <f t="shared" si="2"/>
        <v>10.706448000000004</v>
      </c>
      <c r="K8">
        <f t="shared" si="2"/>
        <v>11.598652000000003</v>
      </c>
    </row>
    <row r="9" spans="1:15" x14ac:dyDescent="0.15">
      <c r="A9">
        <f t="shared" si="3"/>
        <v>75</v>
      </c>
      <c r="B9">
        <f>2+IF(入力!$B$2="男",0,1)*6</f>
        <v>8</v>
      </c>
      <c r="C9">
        <f t="shared" si="0"/>
        <v>9.1072500000000041</v>
      </c>
      <c r="D9">
        <f t="shared" si="1"/>
        <v>7.7411625000000033</v>
      </c>
      <c r="E9">
        <f t="shared" si="2"/>
        <v>2.7321750000000011</v>
      </c>
      <c r="F9">
        <f t="shared" si="2"/>
        <v>7.2858000000000036</v>
      </c>
      <c r="G9">
        <f t="shared" si="2"/>
        <v>7.7411625000000033</v>
      </c>
      <c r="H9">
        <f t="shared" si="2"/>
        <v>9.1072500000000041</v>
      </c>
      <c r="I9">
        <f t="shared" si="2"/>
        <v>10.473337500000003</v>
      </c>
      <c r="J9">
        <f t="shared" si="2"/>
        <v>10.928700000000005</v>
      </c>
      <c r="K9">
        <f t="shared" si="2"/>
        <v>11.839425000000006</v>
      </c>
    </row>
    <row r="10" spans="1:15" x14ac:dyDescent="0.15">
      <c r="A10">
        <f t="shared" si="3"/>
        <v>76</v>
      </c>
      <c r="B10">
        <f>2+IF(入力!$B$2="男",0,1)*6</f>
        <v>8</v>
      </c>
      <c r="C10">
        <f t="shared" si="0"/>
        <v>9.2974400000000035</v>
      </c>
      <c r="D10">
        <f t="shared" si="1"/>
        <v>7.9028240000000025</v>
      </c>
      <c r="E10">
        <f t="shared" si="2"/>
        <v>2.789232000000001</v>
      </c>
      <c r="F10">
        <f t="shared" si="2"/>
        <v>7.4379520000000028</v>
      </c>
      <c r="G10">
        <f t="shared" si="2"/>
        <v>7.9028240000000025</v>
      </c>
      <c r="H10">
        <f t="shared" si="2"/>
        <v>9.2974400000000035</v>
      </c>
      <c r="I10">
        <f t="shared" si="2"/>
        <v>10.692056000000003</v>
      </c>
      <c r="J10">
        <f t="shared" si="2"/>
        <v>11.156928000000004</v>
      </c>
      <c r="K10">
        <f t="shared" si="2"/>
        <v>12.086672000000005</v>
      </c>
    </row>
    <row r="11" spans="1:15" x14ac:dyDescent="0.15">
      <c r="A11">
        <f t="shared" si="3"/>
        <v>77</v>
      </c>
      <c r="B11">
        <f>2+IF(入力!$B$2="男",0,1)*6</f>
        <v>8</v>
      </c>
      <c r="C11">
        <f t="shared" si="0"/>
        <v>9.4926100000000027</v>
      </c>
      <c r="D11">
        <f t="shared" si="1"/>
        <v>8.0687185000000028</v>
      </c>
      <c r="E11">
        <f t="shared" si="2"/>
        <v>2.8477830000000006</v>
      </c>
      <c r="F11">
        <f t="shared" si="2"/>
        <v>7.5940880000000028</v>
      </c>
      <c r="G11">
        <f t="shared" si="2"/>
        <v>8.0687185000000028</v>
      </c>
      <c r="H11">
        <f t="shared" si="2"/>
        <v>9.4926100000000027</v>
      </c>
      <c r="I11">
        <f t="shared" si="2"/>
        <v>10.916501500000003</v>
      </c>
      <c r="J11">
        <f t="shared" si="2"/>
        <v>11.391132000000002</v>
      </c>
      <c r="K11">
        <f t="shared" si="2"/>
        <v>12.340393000000004</v>
      </c>
    </row>
    <row r="12" spans="1:15" x14ac:dyDescent="0.15">
      <c r="A12">
        <f t="shared" si="3"/>
        <v>78</v>
      </c>
      <c r="B12">
        <f>2+IF(入力!$B$2="男",0,1)*6</f>
        <v>8</v>
      </c>
      <c r="C12">
        <f t="shared" si="0"/>
        <v>9.6927600000000016</v>
      </c>
      <c r="D12">
        <f t="shared" si="1"/>
        <v>8.2388460000000006</v>
      </c>
      <c r="E12">
        <f t="shared" si="2"/>
        <v>2.9078280000000003</v>
      </c>
      <c r="F12">
        <f t="shared" si="2"/>
        <v>7.754208000000002</v>
      </c>
      <c r="G12">
        <f t="shared" si="2"/>
        <v>8.2388460000000006</v>
      </c>
      <c r="H12">
        <f t="shared" si="2"/>
        <v>9.6927600000000016</v>
      </c>
      <c r="I12">
        <f t="shared" si="2"/>
        <v>11.146674000000001</v>
      </c>
      <c r="J12">
        <f t="shared" si="2"/>
        <v>11.631312000000001</v>
      </c>
      <c r="K12">
        <f t="shared" si="2"/>
        <v>12.600588000000002</v>
      </c>
    </row>
    <row r="13" spans="1:15" x14ac:dyDescent="0.15">
      <c r="A13">
        <f t="shared" si="3"/>
        <v>79</v>
      </c>
      <c r="B13">
        <f>2+IF(入力!$B$2="男",0,1)*6</f>
        <v>8</v>
      </c>
      <c r="C13">
        <f t="shared" si="0"/>
        <v>9.8978900000000039</v>
      </c>
      <c r="D13">
        <f t="shared" si="1"/>
        <v>8.4132065000000029</v>
      </c>
      <c r="E13">
        <f t="shared" si="2"/>
        <v>2.969367000000001</v>
      </c>
      <c r="F13">
        <f t="shared" si="2"/>
        <v>7.9183120000000038</v>
      </c>
      <c r="G13">
        <f t="shared" si="2"/>
        <v>8.4132065000000029</v>
      </c>
      <c r="H13">
        <f t="shared" si="2"/>
        <v>9.8978900000000039</v>
      </c>
      <c r="I13">
        <f t="shared" si="2"/>
        <v>11.382573500000003</v>
      </c>
      <c r="J13">
        <f t="shared" si="2"/>
        <v>11.877468000000004</v>
      </c>
      <c r="K13">
        <f t="shared" si="2"/>
        <v>12.867257000000006</v>
      </c>
    </row>
    <row r="14" spans="1:15" x14ac:dyDescent="0.15">
      <c r="A14">
        <f t="shared" si="3"/>
        <v>80</v>
      </c>
      <c r="B14">
        <f>2+IF(入力!$B$2="男",0,1)*6</f>
        <v>8</v>
      </c>
      <c r="C14">
        <f t="shared" si="0"/>
        <v>10.108000000000004</v>
      </c>
      <c r="D14">
        <f t="shared" si="1"/>
        <v>8.5918000000000028</v>
      </c>
      <c r="E14">
        <f t="shared" si="2"/>
        <v>3.0324000000000013</v>
      </c>
      <c r="F14">
        <f t="shared" si="2"/>
        <v>8.0864000000000029</v>
      </c>
      <c r="G14">
        <f t="shared" si="2"/>
        <v>8.5918000000000028</v>
      </c>
      <c r="H14">
        <f t="shared" si="2"/>
        <v>10.108000000000004</v>
      </c>
      <c r="I14">
        <f t="shared" si="2"/>
        <v>11.624200000000004</v>
      </c>
      <c r="J14">
        <f t="shared" si="2"/>
        <v>12.129600000000005</v>
      </c>
      <c r="K14">
        <f t="shared" si="2"/>
        <v>13.140400000000005</v>
      </c>
    </row>
    <row r="15" spans="1:15" x14ac:dyDescent="0.15">
      <c r="A15">
        <f t="shared" si="3"/>
        <v>81</v>
      </c>
      <c r="B15">
        <f>2+IF(入力!$B$2="男",0,1)*6</f>
        <v>8</v>
      </c>
      <c r="C15">
        <f t="shared" si="0"/>
        <v>10.323090000000004</v>
      </c>
      <c r="D15">
        <f t="shared" si="1"/>
        <v>8.7746265000000037</v>
      </c>
      <c r="E15">
        <f t="shared" si="2"/>
        <v>3.0969270000000013</v>
      </c>
      <c r="F15">
        <f t="shared" si="2"/>
        <v>8.2584720000000029</v>
      </c>
      <c r="G15">
        <f t="shared" si="2"/>
        <v>8.7746265000000037</v>
      </c>
      <c r="H15">
        <f t="shared" si="2"/>
        <v>10.323090000000004</v>
      </c>
      <c r="I15">
        <f t="shared" si="2"/>
        <v>11.871553500000005</v>
      </c>
      <c r="J15">
        <f t="shared" si="2"/>
        <v>12.387708000000005</v>
      </c>
      <c r="K15">
        <f t="shared" si="2"/>
        <v>13.420017000000005</v>
      </c>
    </row>
    <row r="16" spans="1:15" x14ac:dyDescent="0.15">
      <c r="A16">
        <f t="shared" si="3"/>
        <v>82</v>
      </c>
      <c r="B16">
        <f>2+IF(入力!$B$2="男",0,1)*6</f>
        <v>8</v>
      </c>
      <c r="C16">
        <f t="shared" si="0"/>
        <v>10.543160000000004</v>
      </c>
      <c r="D16">
        <f t="shared" si="1"/>
        <v>8.9616860000000038</v>
      </c>
      <c r="E16">
        <f t="shared" si="2"/>
        <v>3.162948000000001</v>
      </c>
      <c r="F16">
        <f t="shared" si="2"/>
        <v>8.4345280000000038</v>
      </c>
      <c r="G16">
        <f t="shared" si="2"/>
        <v>8.9616860000000038</v>
      </c>
      <c r="H16">
        <f t="shared" si="2"/>
        <v>10.543160000000004</v>
      </c>
      <c r="I16">
        <f t="shared" si="2"/>
        <v>12.124634000000004</v>
      </c>
      <c r="J16">
        <f t="shared" si="2"/>
        <v>12.651792000000004</v>
      </c>
      <c r="K16">
        <f t="shared" si="2"/>
        <v>13.706108000000006</v>
      </c>
    </row>
    <row r="17" spans="1:11" x14ac:dyDescent="0.15">
      <c r="A17">
        <f t="shared" si="3"/>
        <v>83</v>
      </c>
      <c r="B17">
        <f>2+IF(入力!$B$2="男",0,1)*6</f>
        <v>8</v>
      </c>
      <c r="C17">
        <f t="shared" si="0"/>
        <v>10.768210000000003</v>
      </c>
      <c r="D17">
        <f t="shared" si="1"/>
        <v>9.1529785000000032</v>
      </c>
      <c r="E17">
        <f t="shared" si="2"/>
        <v>3.2304630000000008</v>
      </c>
      <c r="F17">
        <f t="shared" si="2"/>
        <v>8.6145680000000038</v>
      </c>
      <c r="G17">
        <f t="shared" si="2"/>
        <v>9.1529785000000032</v>
      </c>
      <c r="H17">
        <f t="shared" si="2"/>
        <v>10.768210000000003</v>
      </c>
      <c r="I17">
        <f t="shared" si="2"/>
        <v>12.383441500000004</v>
      </c>
      <c r="J17">
        <f t="shared" si="2"/>
        <v>12.921852000000003</v>
      </c>
      <c r="K17">
        <f t="shared" si="2"/>
        <v>13.998673000000005</v>
      </c>
    </row>
    <row r="18" spans="1:11" x14ac:dyDescent="0.15">
      <c r="A18">
        <f t="shared" si="3"/>
        <v>84</v>
      </c>
      <c r="B18">
        <f>2+IF(入力!$B$2="男",0,1)*6</f>
        <v>8</v>
      </c>
      <c r="C18">
        <f t="shared" si="0"/>
        <v>10.998240000000004</v>
      </c>
      <c r="D18">
        <f t="shared" si="1"/>
        <v>9.3485040000000037</v>
      </c>
      <c r="E18">
        <f t="shared" si="1"/>
        <v>3.2994720000000011</v>
      </c>
      <c r="F18">
        <f t="shared" si="1"/>
        <v>8.7985920000000046</v>
      </c>
      <c r="G18">
        <f t="shared" si="1"/>
        <v>9.3485040000000037</v>
      </c>
      <c r="H18">
        <f t="shared" si="1"/>
        <v>10.998240000000004</v>
      </c>
      <c r="I18">
        <f t="shared" si="1"/>
        <v>12.647976000000003</v>
      </c>
      <c r="J18">
        <f t="shared" si="1"/>
        <v>13.197888000000004</v>
      </c>
      <c r="K18">
        <f t="shared" si="1"/>
        <v>14.297712000000006</v>
      </c>
    </row>
    <row r="19" spans="1:11" x14ac:dyDescent="0.15">
      <c r="A19">
        <f t="shared" si="3"/>
        <v>85</v>
      </c>
      <c r="B19">
        <f>2+IF(入力!$B$2="男",0,1)*6</f>
        <v>8</v>
      </c>
      <c r="C19">
        <f t="shared" si="0"/>
        <v>11.233250000000004</v>
      </c>
      <c r="D19">
        <f t="shared" ref="D19:K34" si="4">$C19*D$1</f>
        <v>9.5482625000000034</v>
      </c>
      <c r="E19">
        <f t="shared" si="4"/>
        <v>3.3699750000000011</v>
      </c>
      <c r="F19">
        <f t="shared" si="4"/>
        <v>8.9866000000000028</v>
      </c>
      <c r="G19">
        <f t="shared" si="4"/>
        <v>9.5482625000000034</v>
      </c>
      <c r="H19">
        <f t="shared" si="4"/>
        <v>11.233250000000004</v>
      </c>
      <c r="I19">
        <f t="shared" si="4"/>
        <v>12.918237500000004</v>
      </c>
      <c r="J19">
        <f t="shared" si="4"/>
        <v>13.479900000000004</v>
      </c>
      <c r="K19">
        <f t="shared" si="4"/>
        <v>14.603225000000005</v>
      </c>
    </row>
    <row r="20" spans="1:11" x14ac:dyDescent="0.15">
      <c r="A20">
        <f t="shared" si="3"/>
        <v>86</v>
      </c>
      <c r="B20">
        <f>2+IF(入力!$B$2="男",0,1)*6</f>
        <v>8</v>
      </c>
      <c r="C20">
        <f t="shared" si="0"/>
        <v>11.473240000000002</v>
      </c>
      <c r="D20">
        <f t="shared" si="4"/>
        <v>9.7522540000000024</v>
      </c>
      <c r="E20">
        <f t="shared" si="4"/>
        <v>3.4419720000000007</v>
      </c>
      <c r="F20">
        <f t="shared" si="4"/>
        <v>9.1785920000000019</v>
      </c>
      <c r="G20">
        <f t="shared" si="4"/>
        <v>9.7522540000000024</v>
      </c>
      <c r="H20">
        <f t="shared" si="4"/>
        <v>11.473240000000002</v>
      </c>
      <c r="I20">
        <f t="shared" si="4"/>
        <v>13.194226000000002</v>
      </c>
      <c r="J20">
        <f t="shared" si="4"/>
        <v>13.767888000000003</v>
      </c>
      <c r="K20">
        <f t="shared" si="4"/>
        <v>14.915212000000004</v>
      </c>
    </row>
    <row r="21" spans="1:11" x14ac:dyDescent="0.15">
      <c r="A21">
        <f t="shared" si="3"/>
        <v>87</v>
      </c>
      <c r="B21">
        <f>2+IF(入力!$B$2="男",0,1)*6</f>
        <v>8</v>
      </c>
      <c r="C21">
        <f t="shared" si="0"/>
        <v>11.718210000000004</v>
      </c>
      <c r="D21">
        <f t="shared" si="4"/>
        <v>9.9604785000000042</v>
      </c>
      <c r="E21">
        <f t="shared" si="4"/>
        <v>3.5154630000000013</v>
      </c>
      <c r="F21">
        <f t="shared" si="4"/>
        <v>9.3745680000000036</v>
      </c>
      <c r="G21">
        <f t="shared" si="4"/>
        <v>9.9604785000000042</v>
      </c>
      <c r="H21">
        <f t="shared" si="4"/>
        <v>11.718210000000004</v>
      </c>
      <c r="I21">
        <f t="shared" si="4"/>
        <v>13.475941500000005</v>
      </c>
      <c r="J21">
        <f t="shared" si="4"/>
        <v>14.061852000000005</v>
      </c>
      <c r="K21">
        <f t="shared" si="4"/>
        <v>15.233673000000007</v>
      </c>
    </row>
    <row r="22" spans="1:11" x14ac:dyDescent="0.15">
      <c r="A22">
        <f t="shared" si="3"/>
        <v>88</v>
      </c>
      <c r="B22">
        <f>2+IF(入力!$B$2="男",0,1)*6</f>
        <v>8</v>
      </c>
      <c r="C22">
        <f t="shared" si="0"/>
        <v>11.968160000000003</v>
      </c>
      <c r="D22">
        <f t="shared" si="4"/>
        <v>10.172936000000002</v>
      </c>
      <c r="E22">
        <f t="shared" si="4"/>
        <v>3.5904480000000008</v>
      </c>
      <c r="F22">
        <f t="shared" si="4"/>
        <v>9.5745280000000026</v>
      </c>
      <c r="G22">
        <f t="shared" si="4"/>
        <v>10.172936000000002</v>
      </c>
      <c r="H22">
        <f t="shared" si="4"/>
        <v>11.968160000000003</v>
      </c>
      <c r="I22">
        <f t="shared" si="4"/>
        <v>13.763384000000002</v>
      </c>
      <c r="J22">
        <f t="shared" si="4"/>
        <v>14.361792000000003</v>
      </c>
      <c r="K22">
        <f t="shared" si="4"/>
        <v>15.558608000000005</v>
      </c>
    </row>
    <row r="23" spans="1:11" x14ac:dyDescent="0.15">
      <c r="A23">
        <f t="shared" si="3"/>
        <v>89</v>
      </c>
      <c r="B23">
        <f>2+IF(入力!$B$2="男",0,1)*6</f>
        <v>8</v>
      </c>
      <c r="C23">
        <f t="shared" si="0"/>
        <v>12.223090000000001</v>
      </c>
      <c r="D23">
        <f t="shared" si="4"/>
        <v>10.3896265</v>
      </c>
      <c r="E23">
        <f t="shared" si="4"/>
        <v>3.6669270000000003</v>
      </c>
      <c r="F23">
        <f t="shared" si="4"/>
        <v>9.7784720000000007</v>
      </c>
      <c r="G23">
        <f t="shared" si="4"/>
        <v>10.3896265</v>
      </c>
      <c r="H23">
        <f t="shared" si="4"/>
        <v>12.223090000000001</v>
      </c>
      <c r="I23">
        <f t="shared" si="4"/>
        <v>14.0565535</v>
      </c>
      <c r="J23">
        <f t="shared" si="4"/>
        <v>14.667708000000001</v>
      </c>
      <c r="K23">
        <f t="shared" si="4"/>
        <v>15.890017000000002</v>
      </c>
    </row>
    <row r="24" spans="1:11" x14ac:dyDescent="0.15">
      <c r="A24">
        <f t="shared" si="3"/>
        <v>90</v>
      </c>
      <c r="B24">
        <f>2+IF(入力!$B$2="男",0,1)*6</f>
        <v>8</v>
      </c>
      <c r="C24">
        <f t="shared" si="0"/>
        <v>12.483000000000006</v>
      </c>
      <c r="D24">
        <f t="shared" si="4"/>
        <v>10.610550000000005</v>
      </c>
      <c r="E24">
        <f t="shared" si="4"/>
        <v>3.7449000000000017</v>
      </c>
      <c r="F24">
        <f t="shared" si="4"/>
        <v>9.9864000000000051</v>
      </c>
      <c r="G24">
        <f t="shared" si="4"/>
        <v>10.610550000000005</v>
      </c>
      <c r="H24">
        <f t="shared" si="4"/>
        <v>12.483000000000006</v>
      </c>
      <c r="I24">
        <f t="shared" si="4"/>
        <v>14.355450000000006</v>
      </c>
      <c r="J24">
        <f t="shared" si="4"/>
        <v>14.979600000000007</v>
      </c>
      <c r="K24">
        <f t="shared" si="4"/>
        <v>16.227900000000009</v>
      </c>
    </row>
    <row r="25" spans="1:11" x14ac:dyDescent="0.15">
      <c r="A25">
        <f t="shared" si="3"/>
        <v>91</v>
      </c>
      <c r="B25">
        <f>2+IF(入力!$B$2="男",0,1)*6</f>
        <v>8</v>
      </c>
      <c r="C25">
        <f t="shared" si="0"/>
        <v>12.747890000000003</v>
      </c>
      <c r="D25">
        <f t="shared" si="4"/>
        <v>10.835706500000002</v>
      </c>
      <c r="E25">
        <f t="shared" si="4"/>
        <v>3.824367000000001</v>
      </c>
      <c r="F25">
        <f t="shared" si="4"/>
        <v>10.198312000000003</v>
      </c>
      <c r="G25">
        <f t="shared" si="4"/>
        <v>10.835706500000002</v>
      </c>
      <c r="H25">
        <f t="shared" si="4"/>
        <v>12.747890000000003</v>
      </c>
      <c r="I25">
        <f t="shared" si="4"/>
        <v>14.660073500000003</v>
      </c>
      <c r="J25">
        <f t="shared" si="4"/>
        <v>15.297468000000004</v>
      </c>
      <c r="K25">
        <f t="shared" si="4"/>
        <v>16.572257000000004</v>
      </c>
    </row>
    <row r="26" spans="1:11" x14ac:dyDescent="0.15">
      <c r="A26">
        <f t="shared" si="3"/>
        <v>92</v>
      </c>
      <c r="B26">
        <f>2+IF(入力!$B$2="男",0,1)*6</f>
        <v>8</v>
      </c>
      <c r="C26">
        <f t="shared" si="0"/>
        <v>13.017760000000004</v>
      </c>
      <c r="D26">
        <f t="shared" si="4"/>
        <v>11.065096000000004</v>
      </c>
      <c r="E26">
        <f t="shared" si="4"/>
        <v>3.9053280000000012</v>
      </c>
      <c r="F26">
        <f t="shared" si="4"/>
        <v>10.414208000000004</v>
      </c>
      <c r="G26">
        <f t="shared" si="4"/>
        <v>11.065096000000004</v>
      </c>
      <c r="H26">
        <f t="shared" si="4"/>
        <v>13.017760000000004</v>
      </c>
      <c r="I26">
        <f t="shared" si="4"/>
        <v>14.970424000000003</v>
      </c>
      <c r="J26">
        <f t="shared" si="4"/>
        <v>15.621312000000005</v>
      </c>
      <c r="K26">
        <f t="shared" si="4"/>
        <v>16.923088000000007</v>
      </c>
    </row>
    <row r="27" spans="1:11" x14ac:dyDescent="0.15">
      <c r="A27">
        <f t="shared" si="3"/>
        <v>93</v>
      </c>
      <c r="B27">
        <f>2+IF(入力!$B$2="男",0,1)*6</f>
        <v>8</v>
      </c>
      <c r="C27">
        <f t="shared" si="0"/>
        <v>13.292610000000005</v>
      </c>
      <c r="D27">
        <f t="shared" si="4"/>
        <v>11.298718500000003</v>
      </c>
      <c r="E27">
        <f t="shared" si="4"/>
        <v>3.9877830000000012</v>
      </c>
      <c r="F27">
        <f t="shared" si="4"/>
        <v>10.634088000000006</v>
      </c>
      <c r="G27">
        <f t="shared" si="4"/>
        <v>11.298718500000003</v>
      </c>
      <c r="H27">
        <f t="shared" si="4"/>
        <v>13.292610000000005</v>
      </c>
      <c r="I27">
        <f t="shared" si="4"/>
        <v>15.286501500000005</v>
      </c>
      <c r="J27">
        <f t="shared" si="4"/>
        <v>15.951132000000005</v>
      </c>
      <c r="K27">
        <f t="shared" si="4"/>
        <v>17.280393000000007</v>
      </c>
    </row>
    <row r="28" spans="1:11" x14ac:dyDescent="0.15">
      <c r="A28">
        <f t="shared" si="3"/>
        <v>94</v>
      </c>
      <c r="B28">
        <f>2+IF(入力!$B$2="男",0,1)*6</f>
        <v>8</v>
      </c>
      <c r="C28">
        <f t="shared" si="0"/>
        <v>13.572440000000006</v>
      </c>
      <c r="D28">
        <f t="shared" si="4"/>
        <v>11.536574000000005</v>
      </c>
      <c r="E28">
        <f t="shared" si="4"/>
        <v>4.0717320000000017</v>
      </c>
      <c r="F28">
        <f t="shared" si="4"/>
        <v>10.857952000000004</v>
      </c>
      <c r="G28">
        <f t="shared" si="4"/>
        <v>11.536574000000005</v>
      </c>
      <c r="H28">
        <f t="shared" si="4"/>
        <v>13.572440000000006</v>
      </c>
      <c r="I28">
        <f t="shared" si="4"/>
        <v>15.608306000000006</v>
      </c>
      <c r="J28">
        <f t="shared" si="4"/>
        <v>16.286928000000007</v>
      </c>
      <c r="K28">
        <f t="shared" si="4"/>
        <v>17.644172000000008</v>
      </c>
    </row>
    <row r="29" spans="1:11" x14ac:dyDescent="0.15">
      <c r="A29">
        <f t="shared" si="3"/>
        <v>95</v>
      </c>
      <c r="B29">
        <f>2+IF(入力!$B$2="男",0,1)*6</f>
        <v>8</v>
      </c>
      <c r="C29">
        <f t="shared" si="0"/>
        <v>13.857250000000002</v>
      </c>
      <c r="D29">
        <f t="shared" si="4"/>
        <v>11.778662500000001</v>
      </c>
      <c r="E29">
        <f t="shared" si="4"/>
        <v>4.1571750000000005</v>
      </c>
      <c r="F29">
        <f t="shared" si="4"/>
        <v>11.085800000000003</v>
      </c>
      <c r="G29">
        <f t="shared" si="4"/>
        <v>11.778662500000001</v>
      </c>
      <c r="H29">
        <f t="shared" si="4"/>
        <v>13.857250000000002</v>
      </c>
      <c r="I29">
        <f t="shared" si="4"/>
        <v>15.935837500000002</v>
      </c>
      <c r="J29">
        <f t="shared" si="4"/>
        <v>16.628700000000002</v>
      </c>
      <c r="K29">
        <f t="shared" si="4"/>
        <v>18.014425000000003</v>
      </c>
    </row>
    <row r="30" spans="1:11" x14ac:dyDescent="0.15">
      <c r="A30">
        <f t="shared" si="3"/>
        <v>96</v>
      </c>
      <c r="B30">
        <f>2+IF(入力!$B$2="男",0,1)*6</f>
        <v>8</v>
      </c>
      <c r="C30">
        <f t="shared" si="0"/>
        <v>14.147040000000002</v>
      </c>
      <c r="D30">
        <f t="shared" si="4"/>
        <v>12.024984000000002</v>
      </c>
      <c r="E30">
        <f t="shared" si="4"/>
        <v>4.2441120000000003</v>
      </c>
      <c r="F30">
        <f t="shared" si="4"/>
        <v>11.317632000000003</v>
      </c>
      <c r="G30">
        <f t="shared" si="4"/>
        <v>12.024984000000002</v>
      </c>
      <c r="H30">
        <f t="shared" si="4"/>
        <v>14.147040000000002</v>
      </c>
      <c r="I30">
        <f t="shared" si="4"/>
        <v>16.269096000000001</v>
      </c>
      <c r="J30">
        <f t="shared" si="4"/>
        <v>16.976448000000001</v>
      </c>
      <c r="K30">
        <f t="shared" si="4"/>
        <v>18.391152000000005</v>
      </c>
    </row>
    <row r="31" spans="1:11" x14ac:dyDescent="0.15">
      <c r="A31">
        <f t="shared" si="3"/>
        <v>97</v>
      </c>
      <c r="B31">
        <f>2+IF(入力!$B$2="男",0,1)*6</f>
        <v>8</v>
      </c>
      <c r="C31">
        <f t="shared" si="0"/>
        <v>14.441810000000002</v>
      </c>
      <c r="D31">
        <f t="shared" si="4"/>
        <v>12.275538500000001</v>
      </c>
      <c r="E31">
        <f t="shared" si="4"/>
        <v>4.3325430000000003</v>
      </c>
      <c r="F31">
        <f t="shared" si="4"/>
        <v>11.553448000000003</v>
      </c>
      <c r="G31">
        <f t="shared" si="4"/>
        <v>12.275538500000001</v>
      </c>
      <c r="H31">
        <f t="shared" si="4"/>
        <v>14.441810000000002</v>
      </c>
      <c r="I31">
        <f t="shared" si="4"/>
        <v>16.608081500000001</v>
      </c>
      <c r="J31">
        <f t="shared" si="4"/>
        <v>17.330172000000001</v>
      </c>
      <c r="K31">
        <f t="shared" si="4"/>
        <v>18.774353000000005</v>
      </c>
    </row>
    <row r="32" spans="1:11" x14ac:dyDescent="0.15">
      <c r="A32">
        <f t="shared" si="3"/>
        <v>98</v>
      </c>
      <c r="B32">
        <f>2+IF(入力!$B$2="男",0,1)*6</f>
        <v>8</v>
      </c>
      <c r="C32">
        <f t="shared" si="0"/>
        <v>14.741560000000002</v>
      </c>
      <c r="D32">
        <f t="shared" si="4"/>
        <v>12.530326000000001</v>
      </c>
      <c r="E32">
        <f t="shared" si="4"/>
        <v>4.4224680000000003</v>
      </c>
      <c r="F32">
        <f t="shared" si="4"/>
        <v>11.793248000000002</v>
      </c>
      <c r="G32">
        <f t="shared" si="4"/>
        <v>12.530326000000001</v>
      </c>
      <c r="H32">
        <f t="shared" si="4"/>
        <v>14.741560000000002</v>
      </c>
      <c r="I32">
        <f t="shared" si="4"/>
        <v>16.952794000000001</v>
      </c>
      <c r="J32">
        <f t="shared" si="4"/>
        <v>17.689872000000001</v>
      </c>
      <c r="K32">
        <f t="shared" si="4"/>
        <v>19.164028000000002</v>
      </c>
    </row>
    <row r="33" spans="1:11" x14ac:dyDescent="0.15">
      <c r="A33">
        <f t="shared" si="3"/>
        <v>99</v>
      </c>
      <c r="B33">
        <f>2+IF(入力!$B$2="男",0,1)*6</f>
        <v>8</v>
      </c>
      <c r="C33">
        <f t="shared" si="0"/>
        <v>15.046290000000008</v>
      </c>
      <c r="D33">
        <f t="shared" si="4"/>
        <v>12.789346500000006</v>
      </c>
      <c r="E33">
        <f t="shared" si="4"/>
        <v>4.5138870000000022</v>
      </c>
      <c r="F33">
        <f t="shared" si="4"/>
        <v>12.037032000000007</v>
      </c>
      <c r="G33">
        <f t="shared" si="4"/>
        <v>12.789346500000006</v>
      </c>
      <c r="H33">
        <f t="shared" si="4"/>
        <v>15.046290000000008</v>
      </c>
      <c r="I33">
        <f t="shared" si="4"/>
        <v>17.303233500000008</v>
      </c>
      <c r="J33">
        <f t="shared" si="4"/>
        <v>18.055548000000009</v>
      </c>
      <c r="K33">
        <f t="shared" si="4"/>
        <v>19.56017700000001</v>
      </c>
    </row>
    <row r="34" spans="1:11" x14ac:dyDescent="0.15">
      <c r="A34">
        <f t="shared" si="3"/>
        <v>100</v>
      </c>
      <c r="B34">
        <f>2+IF(入力!$B$2="男",0,1)*6</f>
        <v>8</v>
      </c>
      <c r="C34">
        <f t="shared" ref="C34:C54" si="5">INDEX(ito,$B34,6)*$A34^3+INDEX(ito,$B34,7)*$A34^2+INDEX(ito,$B34,8)*$A34+INDEX(ito,$B34,9)</f>
        <v>15.356000000000007</v>
      </c>
      <c r="D34">
        <f t="shared" si="4"/>
        <v>13.052600000000005</v>
      </c>
      <c r="E34">
        <f t="shared" si="4"/>
        <v>4.6068000000000016</v>
      </c>
      <c r="F34">
        <f t="shared" si="4"/>
        <v>12.284800000000006</v>
      </c>
      <c r="G34">
        <f t="shared" si="4"/>
        <v>13.052600000000005</v>
      </c>
      <c r="H34">
        <f t="shared" si="4"/>
        <v>15.356000000000007</v>
      </c>
      <c r="I34">
        <f t="shared" si="4"/>
        <v>17.659400000000005</v>
      </c>
      <c r="J34">
        <f t="shared" si="4"/>
        <v>18.427200000000006</v>
      </c>
      <c r="K34">
        <f t="shared" si="4"/>
        <v>19.962800000000009</v>
      </c>
    </row>
    <row r="35" spans="1:11" x14ac:dyDescent="0.15">
      <c r="A35">
        <f t="shared" si="3"/>
        <v>101</v>
      </c>
      <c r="B35">
        <f>2+IF(入力!$B$2="男",0,1)*6</f>
        <v>8</v>
      </c>
      <c r="C35">
        <f t="shared" si="5"/>
        <v>15.670690000000006</v>
      </c>
      <c r="D35">
        <f t="shared" ref="D35:K50" si="6">$C35*D$1</f>
        <v>13.320086500000004</v>
      </c>
      <c r="E35">
        <f t="shared" si="6"/>
        <v>4.7012070000000019</v>
      </c>
      <c r="F35">
        <f t="shared" si="6"/>
        <v>12.536552000000006</v>
      </c>
      <c r="G35">
        <f t="shared" si="6"/>
        <v>13.320086500000004</v>
      </c>
      <c r="H35">
        <f t="shared" si="6"/>
        <v>15.670690000000006</v>
      </c>
      <c r="I35">
        <f t="shared" si="6"/>
        <v>18.021293500000006</v>
      </c>
      <c r="J35">
        <f t="shared" si="6"/>
        <v>18.804828000000008</v>
      </c>
      <c r="K35">
        <f t="shared" si="6"/>
        <v>20.371897000000008</v>
      </c>
    </row>
    <row r="36" spans="1:11" x14ac:dyDescent="0.15">
      <c r="A36">
        <f t="shared" si="3"/>
        <v>102</v>
      </c>
      <c r="B36">
        <f>2+IF(入力!$B$2="男",0,1)*6</f>
        <v>8</v>
      </c>
      <c r="C36">
        <f t="shared" si="5"/>
        <v>15.990360000000004</v>
      </c>
      <c r="D36">
        <f t="shared" si="6"/>
        <v>13.591806000000004</v>
      </c>
      <c r="E36">
        <f t="shared" si="6"/>
        <v>4.7971080000000015</v>
      </c>
      <c r="F36">
        <f t="shared" si="6"/>
        <v>12.792288000000005</v>
      </c>
      <c r="G36">
        <f t="shared" si="6"/>
        <v>13.591806000000004</v>
      </c>
      <c r="H36">
        <f t="shared" si="6"/>
        <v>15.990360000000004</v>
      </c>
      <c r="I36">
        <f t="shared" si="6"/>
        <v>18.388914000000003</v>
      </c>
      <c r="J36">
        <f t="shared" si="6"/>
        <v>19.188432000000006</v>
      </c>
      <c r="K36">
        <f t="shared" si="6"/>
        <v>20.787468000000008</v>
      </c>
    </row>
    <row r="37" spans="1:11" x14ac:dyDescent="0.15">
      <c r="A37">
        <f t="shared" si="3"/>
        <v>103</v>
      </c>
      <c r="B37">
        <f>2+IF(入力!$B$2="男",0,1)*6</f>
        <v>8</v>
      </c>
      <c r="C37">
        <f t="shared" si="5"/>
        <v>16.315010000000008</v>
      </c>
      <c r="D37">
        <f t="shared" si="6"/>
        <v>13.867758500000006</v>
      </c>
      <c r="E37">
        <f t="shared" si="6"/>
        <v>4.894503000000002</v>
      </c>
      <c r="F37">
        <f t="shared" si="6"/>
        <v>13.052008000000008</v>
      </c>
      <c r="G37">
        <f t="shared" si="6"/>
        <v>13.867758500000006</v>
      </c>
      <c r="H37">
        <f t="shared" si="6"/>
        <v>16.315010000000008</v>
      </c>
      <c r="I37">
        <f t="shared" si="6"/>
        <v>18.762261500000008</v>
      </c>
      <c r="J37">
        <f t="shared" si="6"/>
        <v>19.578012000000008</v>
      </c>
      <c r="K37">
        <f t="shared" si="6"/>
        <v>21.209513000000012</v>
      </c>
    </row>
    <row r="38" spans="1:11" x14ac:dyDescent="0.15">
      <c r="A38">
        <f t="shared" si="3"/>
        <v>104</v>
      </c>
      <c r="B38">
        <f>2+IF(入力!$B$2="男",0,1)*6</f>
        <v>8</v>
      </c>
      <c r="C38">
        <f t="shared" si="5"/>
        <v>16.644640000000003</v>
      </c>
      <c r="D38">
        <f t="shared" si="6"/>
        <v>14.147944000000003</v>
      </c>
      <c r="E38">
        <f t="shared" si="6"/>
        <v>4.9933920000000009</v>
      </c>
      <c r="F38">
        <f t="shared" si="6"/>
        <v>13.315712000000003</v>
      </c>
      <c r="G38">
        <f t="shared" si="6"/>
        <v>14.147944000000003</v>
      </c>
      <c r="H38">
        <f t="shared" si="6"/>
        <v>16.644640000000003</v>
      </c>
      <c r="I38">
        <f t="shared" si="6"/>
        <v>19.141336000000003</v>
      </c>
      <c r="J38">
        <f t="shared" si="6"/>
        <v>19.973568000000004</v>
      </c>
      <c r="K38">
        <f t="shared" si="6"/>
        <v>21.638032000000003</v>
      </c>
    </row>
    <row r="39" spans="1:11" x14ac:dyDescent="0.15">
      <c r="A39">
        <f t="shared" si="3"/>
        <v>105</v>
      </c>
      <c r="B39">
        <f>2+IF(入力!$B$2="男",0,1)*6</f>
        <v>8</v>
      </c>
      <c r="C39">
        <f t="shared" si="5"/>
        <v>16.979250000000008</v>
      </c>
      <c r="D39">
        <f t="shared" si="6"/>
        <v>14.432362500000005</v>
      </c>
      <c r="E39">
        <f t="shared" si="6"/>
        <v>5.0937750000000017</v>
      </c>
      <c r="F39">
        <f t="shared" si="6"/>
        <v>13.583400000000006</v>
      </c>
      <c r="G39">
        <f t="shared" si="6"/>
        <v>14.432362500000005</v>
      </c>
      <c r="H39">
        <f t="shared" si="6"/>
        <v>16.979250000000008</v>
      </c>
      <c r="I39">
        <f t="shared" si="6"/>
        <v>19.526137500000008</v>
      </c>
      <c r="J39">
        <f t="shared" si="6"/>
        <v>20.375100000000007</v>
      </c>
      <c r="K39">
        <f t="shared" si="6"/>
        <v>22.073025000000012</v>
      </c>
    </row>
    <row r="40" spans="1:11" x14ac:dyDescent="0.15">
      <c r="A40">
        <f t="shared" si="3"/>
        <v>106</v>
      </c>
      <c r="B40">
        <f>2+IF(入力!$B$2="男",0,1)*6</f>
        <v>8</v>
      </c>
      <c r="C40">
        <f t="shared" si="5"/>
        <v>17.318840000000002</v>
      </c>
      <c r="D40">
        <f t="shared" si="6"/>
        <v>14.721014</v>
      </c>
      <c r="E40">
        <f t="shared" si="6"/>
        <v>5.1956519999999999</v>
      </c>
      <c r="F40">
        <f t="shared" si="6"/>
        <v>13.855072000000002</v>
      </c>
      <c r="G40">
        <f t="shared" si="6"/>
        <v>14.721014</v>
      </c>
      <c r="H40">
        <f t="shared" si="6"/>
        <v>17.318840000000002</v>
      </c>
      <c r="I40">
        <f t="shared" si="6"/>
        <v>19.916665999999999</v>
      </c>
      <c r="J40">
        <f t="shared" si="6"/>
        <v>20.782608</v>
      </c>
      <c r="K40">
        <f t="shared" si="6"/>
        <v>22.514492000000004</v>
      </c>
    </row>
    <row r="41" spans="1:11" x14ac:dyDescent="0.15">
      <c r="A41">
        <f t="shared" si="3"/>
        <v>107</v>
      </c>
      <c r="B41">
        <f>2+IF(入力!$B$2="男",0,1)*6</f>
        <v>8</v>
      </c>
      <c r="C41">
        <f t="shared" si="5"/>
        <v>17.663410000000006</v>
      </c>
      <c r="D41">
        <f t="shared" si="6"/>
        <v>15.013898500000005</v>
      </c>
      <c r="E41">
        <f t="shared" si="6"/>
        <v>5.2990230000000018</v>
      </c>
      <c r="F41">
        <f t="shared" si="6"/>
        <v>14.130728000000005</v>
      </c>
      <c r="G41">
        <f t="shared" si="6"/>
        <v>15.013898500000005</v>
      </c>
      <c r="H41">
        <f t="shared" si="6"/>
        <v>17.663410000000006</v>
      </c>
      <c r="I41">
        <f t="shared" si="6"/>
        <v>20.312921500000005</v>
      </c>
      <c r="J41">
        <f t="shared" si="6"/>
        <v>21.196092000000007</v>
      </c>
      <c r="K41">
        <f t="shared" si="6"/>
        <v>22.962433000000008</v>
      </c>
    </row>
    <row r="42" spans="1:11" x14ac:dyDescent="0.15">
      <c r="A42">
        <f t="shared" si="3"/>
        <v>108</v>
      </c>
      <c r="B42">
        <f>2+IF(入力!$B$2="男",0,1)*6</f>
        <v>8</v>
      </c>
      <c r="C42">
        <f t="shared" si="5"/>
        <v>18.012960000000007</v>
      </c>
      <c r="D42">
        <f t="shared" si="6"/>
        <v>15.311016000000006</v>
      </c>
      <c r="E42">
        <f t="shared" si="6"/>
        <v>5.403888000000002</v>
      </c>
      <c r="F42">
        <f t="shared" si="6"/>
        <v>14.410368000000005</v>
      </c>
      <c r="G42">
        <f t="shared" si="6"/>
        <v>15.311016000000006</v>
      </c>
      <c r="H42">
        <f t="shared" si="6"/>
        <v>18.012960000000007</v>
      </c>
      <c r="I42">
        <f t="shared" si="6"/>
        <v>20.714904000000008</v>
      </c>
      <c r="J42">
        <f t="shared" si="6"/>
        <v>21.615552000000008</v>
      </c>
      <c r="K42">
        <f t="shared" si="6"/>
        <v>23.416848000000009</v>
      </c>
    </row>
    <row r="43" spans="1:11" x14ac:dyDescent="0.15">
      <c r="A43">
        <f t="shared" si="3"/>
        <v>109</v>
      </c>
      <c r="B43">
        <f>2+IF(入力!$B$2="男",0,1)*6</f>
        <v>8</v>
      </c>
      <c r="C43">
        <f t="shared" si="5"/>
        <v>18.367490000000004</v>
      </c>
      <c r="D43">
        <f t="shared" si="6"/>
        <v>15.612366500000002</v>
      </c>
      <c r="E43">
        <f t="shared" si="6"/>
        <v>5.5102470000000006</v>
      </c>
      <c r="F43">
        <f t="shared" si="6"/>
        <v>14.693992000000003</v>
      </c>
      <c r="G43">
        <f t="shared" si="6"/>
        <v>15.612366500000002</v>
      </c>
      <c r="H43">
        <f t="shared" si="6"/>
        <v>18.367490000000004</v>
      </c>
      <c r="I43">
        <f t="shared" si="6"/>
        <v>21.122613500000003</v>
      </c>
      <c r="J43">
        <f t="shared" si="6"/>
        <v>22.040988000000002</v>
      </c>
      <c r="K43">
        <f t="shared" si="6"/>
        <v>23.877737000000007</v>
      </c>
    </row>
    <row r="44" spans="1:11" x14ac:dyDescent="0.15">
      <c r="A44">
        <f t="shared" si="3"/>
        <v>110</v>
      </c>
      <c r="B44">
        <f>2+IF(入力!$B$2="男",0,1)*6</f>
        <v>8</v>
      </c>
      <c r="C44">
        <f t="shared" si="5"/>
        <v>18.727000000000004</v>
      </c>
      <c r="D44">
        <f t="shared" si="6"/>
        <v>15.917950000000003</v>
      </c>
      <c r="E44">
        <f t="shared" si="6"/>
        <v>5.618100000000001</v>
      </c>
      <c r="F44">
        <f t="shared" si="6"/>
        <v>14.981600000000004</v>
      </c>
      <c r="G44">
        <f t="shared" si="6"/>
        <v>15.917950000000003</v>
      </c>
      <c r="H44">
        <f t="shared" si="6"/>
        <v>18.727000000000004</v>
      </c>
      <c r="I44">
        <f t="shared" si="6"/>
        <v>21.536050000000003</v>
      </c>
      <c r="J44">
        <f t="shared" si="6"/>
        <v>22.472400000000004</v>
      </c>
      <c r="K44">
        <f t="shared" si="6"/>
        <v>24.345100000000006</v>
      </c>
    </row>
    <row r="45" spans="1:11" x14ac:dyDescent="0.15">
      <c r="A45">
        <f t="shared" si="3"/>
        <v>111</v>
      </c>
      <c r="B45">
        <f>2+IF(入力!$B$2="男",0,1)*6</f>
        <v>8</v>
      </c>
      <c r="C45">
        <f t="shared" si="5"/>
        <v>19.091490000000007</v>
      </c>
      <c r="D45">
        <f t="shared" si="6"/>
        <v>16.227766500000005</v>
      </c>
      <c r="E45">
        <f t="shared" si="6"/>
        <v>5.7274470000000024</v>
      </c>
      <c r="F45">
        <f t="shared" si="6"/>
        <v>15.273192000000007</v>
      </c>
      <c r="G45">
        <f t="shared" si="6"/>
        <v>16.227766500000005</v>
      </c>
      <c r="H45">
        <f t="shared" si="6"/>
        <v>19.091490000000007</v>
      </c>
      <c r="I45">
        <f t="shared" si="6"/>
        <v>21.955213500000006</v>
      </c>
      <c r="J45">
        <f t="shared" si="6"/>
        <v>22.90978800000001</v>
      </c>
      <c r="K45">
        <f t="shared" si="6"/>
        <v>24.818937000000009</v>
      </c>
    </row>
    <row r="46" spans="1:11" x14ac:dyDescent="0.15">
      <c r="A46">
        <f t="shared" si="3"/>
        <v>112</v>
      </c>
      <c r="B46">
        <f>2+IF(入力!$B$2="男",0,1)*6</f>
        <v>8</v>
      </c>
      <c r="C46">
        <f t="shared" si="5"/>
        <v>19.460960000000007</v>
      </c>
      <c r="D46">
        <f t="shared" si="6"/>
        <v>16.541816000000004</v>
      </c>
      <c r="E46">
        <f t="shared" si="6"/>
        <v>5.8382880000000021</v>
      </c>
      <c r="F46">
        <f t="shared" si="6"/>
        <v>15.568768000000006</v>
      </c>
      <c r="G46">
        <f t="shared" si="6"/>
        <v>16.541816000000004</v>
      </c>
      <c r="H46">
        <f t="shared" si="6"/>
        <v>19.460960000000007</v>
      </c>
      <c r="I46">
        <f t="shared" si="6"/>
        <v>22.380104000000006</v>
      </c>
      <c r="J46">
        <f t="shared" si="6"/>
        <v>23.353152000000009</v>
      </c>
      <c r="K46">
        <f t="shared" si="6"/>
        <v>25.299248000000009</v>
      </c>
    </row>
    <row r="47" spans="1:11" x14ac:dyDescent="0.15">
      <c r="A47">
        <f t="shared" si="3"/>
        <v>113</v>
      </c>
      <c r="B47">
        <f>2+IF(入力!$B$2="男",0,1)*6</f>
        <v>8</v>
      </c>
      <c r="C47">
        <f t="shared" si="5"/>
        <v>19.835410000000003</v>
      </c>
      <c r="D47">
        <f t="shared" si="6"/>
        <v>16.860098500000003</v>
      </c>
      <c r="E47">
        <f t="shared" si="6"/>
        <v>5.9506230000000011</v>
      </c>
      <c r="F47">
        <f t="shared" si="6"/>
        <v>15.868328000000004</v>
      </c>
      <c r="G47">
        <f t="shared" si="6"/>
        <v>16.860098500000003</v>
      </c>
      <c r="H47">
        <f t="shared" si="6"/>
        <v>19.835410000000003</v>
      </c>
      <c r="I47">
        <f t="shared" si="6"/>
        <v>22.810721500000003</v>
      </c>
      <c r="J47">
        <f t="shared" si="6"/>
        <v>23.802492000000004</v>
      </c>
      <c r="K47">
        <f t="shared" si="6"/>
        <v>25.786033000000003</v>
      </c>
    </row>
    <row r="48" spans="1:11" x14ac:dyDescent="0.15">
      <c r="A48">
        <f t="shared" si="3"/>
        <v>114</v>
      </c>
      <c r="B48">
        <f>2+IF(入力!$B$2="男",0,1)*6</f>
        <v>8</v>
      </c>
      <c r="C48">
        <f t="shared" si="5"/>
        <v>20.214840000000002</v>
      </c>
      <c r="D48">
        <f t="shared" si="6"/>
        <v>17.182614000000001</v>
      </c>
      <c r="E48">
        <f t="shared" si="6"/>
        <v>6.0644520000000002</v>
      </c>
      <c r="F48">
        <f t="shared" si="6"/>
        <v>16.171872000000004</v>
      </c>
      <c r="G48">
        <f t="shared" si="6"/>
        <v>17.182614000000001</v>
      </c>
      <c r="H48">
        <f t="shared" si="6"/>
        <v>20.214840000000002</v>
      </c>
      <c r="I48">
        <f t="shared" si="6"/>
        <v>23.247066</v>
      </c>
      <c r="J48">
        <f t="shared" si="6"/>
        <v>24.257808000000001</v>
      </c>
      <c r="K48">
        <f t="shared" si="6"/>
        <v>26.279292000000005</v>
      </c>
    </row>
    <row r="49" spans="1:11" x14ac:dyDescent="0.15">
      <c r="A49">
        <f t="shared" si="3"/>
        <v>115</v>
      </c>
      <c r="B49">
        <f>2+IF(入力!$B$2="男",0,1)*6</f>
        <v>8</v>
      </c>
      <c r="C49">
        <f t="shared" si="5"/>
        <v>20.599250000000005</v>
      </c>
      <c r="D49">
        <f t="shared" si="6"/>
        <v>17.509362500000005</v>
      </c>
      <c r="E49">
        <f t="shared" si="6"/>
        <v>6.1797750000000011</v>
      </c>
      <c r="F49">
        <f t="shared" si="6"/>
        <v>16.479400000000005</v>
      </c>
      <c r="G49">
        <f t="shared" si="6"/>
        <v>17.509362500000005</v>
      </c>
      <c r="H49">
        <f t="shared" si="6"/>
        <v>20.599250000000005</v>
      </c>
      <c r="I49">
        <f t="shared" si="6"/>
        <v>23.689137500000005</v>
      </c>
      <c r="J49">
        <f t="shared" si="6"/>
        <v>24.719100000000005</v>
      </c>
      <c r="K49">
        <f t="shared" si="6"/>
        <v>26.779025000000008</v>
      </c>
    </row>
    <row r="50" spans="1:11" x14ac:dyDescent="0.15">
      <c r="A50">
        <f t="shared" si="3"/>
        <v>116</v>
      </c>
      <c r="B50">
        <f>2+IF(入力!$B$2="男",0,1)*6</f>
        <v>8</v>
      </c>
      <c r="C50">
        <f t="shared" si="5"/>
        <v>20.988640000000011</v>
      </c>
      <c r="D50">
        <f t="shared" si="6"/>
        <v>17.840344000000009</v>
      </c>
      <c r="E50">
        <f t="shared" si="6"/>
        <v>6.2965920000000031</v>
      </c>
      <c r="F50">
        <f t="shared" si="6"/>
        <v>16.790912000000009</v>
      </c>
      <c r="G50">
        <f t="shared" si="6"/>
        <v>17.840344000000009</v>
      </c>
      <c r="H50">
        <f t="shared" si="6"/>
        <v>20.988640000000011</v>
      </c>
      <c r="I50">
        <f t="shared" si="6"/>
        <v>24.136936000000009</v>
      </c>
      <c r="J50">
        <f t="shared" si="6"/>
        <v>25.186368000000012</v>
      </c>
      <c r="K50">
        <f t="shared" si="6"/>
        <v>27.285232000000015</v>
      </c>
    </row>
    <row r="51" spans="1:11" x14ac:dyDescent="0.15">
      <c r="A51">
        <f t="shared" si="3"/>
        <v>117</v>
      </c>
      <c r="B51">
        <f>2+IF(入力!$B$2="男",0,1)*6</f>
        <v>8</v>
      </c>
      <c r="C51">
        <f t="shared" si="5"/>
        <v>21.383010000000013</v>
      </c>
      <c r="D51">
        <f t="shared" ref="D51:K54" si="7">$C51*D$1</f>
        <v>18.175558500000012</v>
      </c>
      <c r="E51">
        <f t="shared" si="7"/>
        <v>6.4149030000000034</v>
      </c>
      <c r="F51">
        <f t="shared" si="7"/>
        <v>17.106408000000012</v>
      </c>
      <c r="G51">
        <f t="shared" si="7"/>
        <v>18.175558500000012</v>
      </c>
      <c r="H51">
        <f t="shared" si="7"/>
        <v>21.383010000000013</v>
      </c>
      <c r="I51">
        <f t="shared" si="7"/>
        <v>24.590461500000014</v>
      </c>
      <c r="J51">
        <f t="shared" si="7"/>
        <v>25.659612000000013</v>
      </c>
      <c r="K51">
        <f t="shared" si="7"/>
        <v>27.797913000000019</v>
      </c>
    </row>
    <row r="52" spans="1:11" x14ac:dyDescent="0.15">
      <c r="A52">
        <f t="shared" si="3"/>
        <v>118</v>
      </c>
      <c r="B52">
        <f>2+IF(入力!$B$2="男",0,1)*6</f>
        <v>8</v>
      </c>
      <c r="C52">
        <f t="shared" si="5"/>
        <v>21.782360000000011</v>
      </c>
      <c r="D52">
        <f t="shared" si="7"/>
        <v>18.51500600000001</v>
      </c>
      <c r="E52">
        <f t="shared" si="7"/>
        <v>6.5347080000000028</v>
      </c>
      <c r="F52">
        <f t="shared" si="7"/>
        <v>17.425888000000011</v>
      </c>
      <c r="G52">
        <f t="shared" si="7"/>
        <v>18.51500600000001</v>
      </c>
      <c r="H52">
        <f t="shared" si="7"/>
        <v>21.782360000000011</v>
      </c>
      <c r="I52">
        <f t="shared" si="7"/>
        <v>25.049714000000012</v>
      </c>
      <c r="J52">
        <f t="shared" si="7"/>
        <v>26.138832000000011</v>
      </c>
      <c r="K52">
        <f t="shared" si="7"/>
        <v>28.317068000000017</v>
      </c>
    </row>
    <row r="53" spans="1:11" x14ac:dyDescent="0.15">
      <c r="A53">
        <f t="shared" si="3"/>
        <v>119</v>
      </c>
      <c r="B53">
        <f>2+IF(入力!$B$2="男",0,1)*6</f>
        <v>8</v>
      </c>
      <c r="C53">
        <f t="shared" si="5"/>
        <v>22.186690000000006</v>
      </c>
      <c r="D53">
        <f t="shared" si="7"/>
        <v>18.858686500000005</v>
      </c>
      <c r="E53">
        <f t="shared" si="7"/>
        <v>6.6560070000000016</v>
      </c>
      <c r="F53">
        <f t="shared" si="7"/>
        <v>17.749352000000005</v>
      </c>
      <c r="G53">
        <f t="shared" si="7"/>
        <v>18.858686500000005</v>
      </c>
      <c r="H53">
        <f t="shared" si="7"/>
        <v>22.186690000000006</v>
      </c>
      <c r="I53">
        <f t="shared" si="7"/>
        <v>25.514693500000003</v>
      </c>
      <c r="J53">
        <f t="shared" si="7"/>
        <v>26.624028000000006</v>
      </c>
      <c r="K53">
        <f t="shared" si="7"/>
        <v>28.842697000000008</v>
      </c>
    </row>
    <row r="54" spans="1:11" x14ac:dyDescent="0.15">
      <c r="A54">
        <f t="shared" si="3"/>
        <v>120</v>
      </c>
      <c r="B54">
        <f>2+IF(入力!$B$2="男",0,1)*6</f>
        <v>8</v>
      </c>
      <c r="C54">
        <f t="shared" si="5"/>
        <v>22.596000000000011</v>
      </c>
      <c r="D54">
        <f t="shared" si="7"/>
        <v>19.206600000000009</v>
      </c>
      <c r="E54">
        <f t="shared" si="7"/>
        <v>6.778800000000003</v>
      </c>
      <c r="F54">
        <f t="shared" si="7"/>
        <v>18.076800000000009</v>
      </c>
      <c r="G54">
        <f t="shared" si="7"/>
        <v>19.206600000000009</v>
      </c>
      <c r="H54">
        <f t="shared" si="7"/>
        <v>22.596000000000011</v>
      </c>
      <c r="I54">
        <f t="shared" si="7"/>
        <v>25.985400000000009</v>
      </c>
      <c r="J54">
        <f t="shared" si="7"/>
        <v>27.115200000000012</v>
      </c>
      <c r="K54">
        <f t="shared" si="7"/>
        <v>29.374800000000015</v>
      </c>
    </row>
    <row r="57" spans="1:11" x14ac:dyDescent="0.15">
      <c r="A57" t="s">
        <v>75</v>
      </c>
      <c r="D57">
        <v>0.9</v>
      </c>
      <c r="E57">
        <v>0.3</v>
      </c>
      <c r="F57">
        <v>0.8</v>
      </c>
      <c r="G57">
        <v>0.9</v>
      </c>
      <c r="H57">
        <v>1</v>
      </c>
      <c r="I57">
        <v>1.2</v>
      </c>
      <c r="J57">
        <v>1.3</v>
      </c>
      <c r="K57">
        <v>1.5</v>
      </c>
    </row>
    <row r="58" spans="1:11" x14ac:dyDescent="0.15">
      <c r="A58" t="s">
        <v>37</v>
      </c>
      <c r="B58" s="24" t="s">
        <v>36</v>
      </c>
      <c r="C58" s="20" t="s">
        <v>35</v>
      </c>
      <c r="D58" s="1" t="s">
        <v>139</v>
      </c>
      <c r="E58" s="1" t="s">
        <v>140</v>
      </c>
      <c r="F58" s="1" t="s">
        <v>133</v>
      </c>
      <c r="G58" s="1" t="s">
        <v>132</v>
      </c>
      <c r="H58" s="1" t="s">
        <v>131</v>
      </c>
      <c r="I58" s="1" t="s">
        <v>72</v>
      </c>
      <c r="J58" s="1" t="s">
        <v>71</v>
      </c>
      <c r="K58" s="23" t="s">
        <v>70</v>
      </c>
    </row>
    <row r="59" spans="1:11" x14ac:dyDescent="0.15">
      <c r="A59">
        <v>101</v>
      </c>
      <c r="B59">
        <f>IF(A59&gt;=101,IF(A59&gt;=140,IF(A59&gt;=149,IF(A59&gt;171+IF(入力!$B$2="男",1,0)*13,NA(),5),4),3),NA())+IF(入力!$B$2="男",0,1)*6</f>
        <v>9</v>
      </c>
      <c r="C59">
        <f t="shared" ref="C59:C90" si="8">INDEX(ito,$B59,6)*$A59^3+INDEX(ito,$B59,7)*$A59^2+INDEX(ito,$B59,8)*$A59+INDEX(ito,$B59,9)</f>
        <v>14.65680221900007</v>
      </c>
      <c r="D59">
        <f>$C59*D$57</f>
        <v>13.191121997100064</v>
      </c>
      <c r="E59">
        <f t="shared" ref="E59:K74" si="9">$C59*E$57</f>
        <v>4.3970406657000209</v>
      </c>
      <c r="F59">
        <f t="shared" si="9"/>
        <v>11.725441775200057</v>
      </c>
      <c r="G59">
        <f t="shared" si="9"/>
        <v>13.191121997100064</v>
      </c>
      <c r="H59">
        <f t="shared" si="9"/>
        <v>14.65680221900007</v>
      </c>
      <c r="I59">
        <f t="shared" si="9"/>
        <v>17.588162662800084</v>
      </c>
      <c r="J59">
        <f t="shared" si="9"/>
        <v>19.053842884700092</v>
      </c>
      <c r="K59">
        <f t="shared" si="9"/>
        <v>21.985203328500106</v>
      </c>
    </row>
    <row r="60" spans="1:11" x14ac:dyDescent="0.15">
      <c r="A60">
        <v>102</v>
      </c>
      <c r="B60">
        <f>IF(A60&gt;=101,IF(A60&gt;=140,IF(A60&gt;=149,IF(A60&gt;171+IF(入力!$B$2="男",1,0)*13,NA(),5),4),3),NA())+IF(入力!$B$2="男",0,1)*6</f>
        <v>9</v>
      </c>
      <c r="C60">
        <f t="shared" si="8"/>
        <v>15.043059752000005</v>
      </c>
      <c r="D60">
        <f t="shared" ref="D60:K75" si="10">$C60*D$57</f>
        <v>13.538753776800005</v>
      </c>
      <c r="E60">
        <f t="shared" si="9"/>
        <v>4.5129179256000009</v>
      </c>
      <c r="F60">
        <f t="shared" si="9"/>
        <v>12.034447801600004</v>
      </c>
      <c r="G60">
        <f t="shared" si="9"/>
        <v>13.538753776800005</v>
      </c>
      <c r="H60">
        <f t="shared" si="9"/>
        <v>15.043059752000005</v>
      </c>
      <c r="I60">
        <f t="shared" si="9"/>
        <v>18.051671702400004</v>
      </c>
      <c r="J60">
        <f t="shared" si="9"/>
        <v>19.555977677600008</v>
      </c>
      <c r="K60">
        <f t="shared" si="9"/>
        <v>22.564589628000007</v>
      </c>
    </row>
    <row r="61" spans="1:11" x14ac:dyDescent="0.15">
      <c r="A61">
        <v>103</v>
      </c>
      <c r="B61">
        <f>IF(A61&gt;=101,IF(A61&gt;=140,IF(A61&gt;=149,IF(A61&gt;171+IF(入力!$B$2="男",1,0)*13,NA(),5),4),3),NA())+IF(入力!$B$2="男",0,1)*6</f>
        <v>9</v>
      </c>
      <c r="C61">
        <f t="shared" si="8"/>
        <v>15.424538912999964</v>
      </c>
      <c r="D61">
        <f t="shared" si="10"/>
        <v>13.882085021699968</v>
      </c>
      <c r="E61">
        <f t="shared" si="9"/>
        <v>4.6273616738999888</v>
      </c>
      <c r="F61">
        <f t="shared" si="9"/>
        <v>12.339631130399972</v>
      </c>
      <c r="G61">
        <f t="shared" si="9"/>
        <v>13.882085021699968</v>
      </c>
      <c r="H61">
        <f t="shared" si="9"/>
        <v>15.424538912999964</v>
      </c>
      <c r="I61">
        <f t="shared" si="9"/>
        <v>18.509446695599955</v>
      </c>
      <c r="J61">
        <f t="shared" si="9"/>
        <v>20.051900586899954</v>
      </c>
      <c r="K61">
        <f t="shared" si="9"/>
        <v>23.136808369499946</v>
      </c>
    </row>
    <row r="62" spans="1:11" x14ac:dyDescent="0.15">
      <c r="A62">
        <v>104</v>
      </c>
      <c r="B62">
        <f>IF(A62&gt;=101,IF(A62&gt;=140,IF(A62&gt;=149,IF(A62&gt;171+IF(入力!$B$2="男",1,0)*13,NA(),5),4),3),NA())+IF(入力!$B$2="男",0,1)*6</f>
        <v>9</v>
      </c>
      <c r="C62">
        <f t="shared" si="8"/>
        <v>15.802006015999979</v>
      </c>
      <c r="D62">
        <f t="shared" si="10"/>
        <v>14.221805414399981</v>
      </c>
      <c r="E62">
        <f t="shared" si="9"/>
        <v>4.7406018047999936</v>
      </c>
      <c r="F62">
        <f t="shared" si="9"/>
        <v>12.641604812799983</v>
      </c>
      <c r="G62">
        <f t="shared" si="9"/>
        <v>14.221805414399981</v>
      </c>
      <c r="H62">
        <f t="shared" si="9"/>
        <v>15.802006015999979</v>
      </c>
      <c r="I62">
        <f t="shared" si="9"/>
        <v>18.962407219199974</v>
      </c>
      <c r="J62">
        <f t="shared" si="9"/>
        <v>20.542607820799972</v>
      </c>
      <c r="K62">
        <f t="shared" si="9"/>
        <v>23.703009023999968</v>
      </c>
    </row>
    <row r="63" spans="1:11" x14ac:dyDescent="0.15">
      <c r="A63">
        <v>105</v>
      </c>
      <c r="B63">
        <f>IF(A63&gt;=101,IF(A63&gt;=140,IF(A63&gt;=149,IF(A63&gt;171+IF(入力!$B$2="男",1,0)*13,NA(),5),4),3),NA())+IF(入力!$B$2="男",0,1)*6</f>
        <v>9</v>
      </c>
      <c r="C63">
        <f t="shared" si="8"/>
        <v>16.176227374999968</v>
      </c>
      <c r="D63">
        <f t="shared" si="10"/>
        <v>14.558604637499972</v>
      </c>
      <c r="E63">
        <f t="shared" si="9"/>
        <v>4.85286821249999</v>
      </c>
      <c r="F63">
        <f t="shared" si="9"/>
        <v>12.940981899999976</v>
      </c>
      <c r="G63">
        <f t="shared" si="9"/>
        <v>14.558604637499972</v>
      </c>
      <c r="H63">
        <f t="shared" si="9"/>
        <v>16.176227374999968</v>
      </c>
      <c r="I63">
        <f t="shared" si="9"/>
        <v>19.41147284999996</v>
      </c>
      <c r="J63">
        <f t="shared" si="9"/>
        <v>21.02909558749996</v>
      </c>
      <c r="K63">
        <f t="shared" si="9"/>
        <v>24.264341062499952</v>
      </c>
    </row>
    <row r="64" spans="1:11" x14ac:dyDescent="0.15">
      <c r="A64">
        <v>106</v>
      </c>
      <c r="B64">
        <f>IF(A64&gt;=101,IF(A64&gt;=140,IF(A64&gt;=149,IF(A64&gt;171+IF(入力!$B$2="男",1,0)*13,NA(),5),4),3),NA())+IF(入力!$B$2="男",0,1)*6</f>
        <v>9</v>
      </c>
      <c r="C64">
        <f t="shared" si="8"/>
        <v>16.547969303999963</v>
      </c>
      <c r="D64">
        <f t="shared" si="10"/>
        <v>14.893172373599967</v>
      </c>
      <c r="E64">
        <f t="shared" si="9"/>
        <v>4.9643907911999889</v>
      </c>
      <c r="F64">
        <f t="shared" si="9"/>
        <v>13.238375443199971</v>
      </c>
      <c r="G64">
        <f t="shared" si="9"/>
        <v>14.893172373599967</v>
      </c>
      <c r="H64">
        <f t="shared" si="9"/>
        <v>16.547969303999963</v>
      </c>
      <c r="I64">
        <f t="shared" si="9"/>
        <v>19.857563164799956</v>
      </c>
      <c r="J64">
        <f t="shared" si="9"/>
        <v>21.512360095199952</v>
      </c>
      <c r="K64">
        <f t="shared" si="9"/>
        <v>24.821953955999945</v>
      </c>
    </row>
    <row r="65" spans="1:11" x14ac:dyDescent="0.15">
      <c r="A65">
        <v>107</v>
      </c>
      <c r="B65">
        <f>IF(A65&gt;=101,IF(A65&gt;=140,IF(A65&gt;=149,IF(A65&gt;171+IF(入力!$B$2="男",1,0)*13,NA(),5),4),3),NA())+IF(入力!$B$2="男",0,1)*6</f>
        <v>9</v>
      </c>
      <c r="C65">
        <f t="shared" si="8"/>
        <v>16.917998116999939</v>
      </c>
      <c r="D65">
        <f t="shared" si="10"/>
        <v>15.226198305299945</v>
      </c>
      <c r="E65">
        <f t="shared" si="9"/>
        <v>5.0753994350999818</v>
      </c>
      <c r="F65">
        <f t="shared" si="9"/>
        <v>13.534398493599952</v>
      </c>
      <c r="G65">
        <f t="shared" si="9"/>
        <v>15.226198305299945</v>
      </c>
      <c r="H65">
        <f t="shared" si="9"/>
        <v>16.917998116999939</v>
      </c>
      <c r="I65">
        <f t="shared" si="9"/>
        <v>20.301597740399927</v>
      </c>
      <c r="J65">
        <f t="shared" si="9"/>
        <v>21.993397552099921</v>
      </c>
      <c r="K65">
        <f t="shared" si="9"/>
        <v>25.376997175499909</v>
      </c>
    </row>
    <row r="66" spans="1:11" x14ac:dyDescent="0.15">
      <c r="A66">
        <v>108</v>
      </c>
      <c r="B66">
        <f>IF(A66&gt;=101,IF(A66&gt;=140,IF(A66&gt;=149,IF(A66&gt;171+IF(入力!$B$2="男",1,0)*13,NA(),5),4),3),NA())+IF(入力!$B$2="男",0,1)*6</f>
        <v>9</v>
      </c>
      <c r="C66">
        <f t="shared" si="8"/>
        <v>17.287080127999985</v>
      </c>
      <c r="D66">
        <f t="shared" si="10"/>
        <v>15.558372115199987</v>
      </c>
      <c r="E66">
        <f t="shared" si="9"/>
        <v>5.1861240383999956</v>
      </c>
      <c r="F66">
        <f t="shared" si="9"/>
        <v>13.829664102399988</v>
      </c>
      <c r="G66">
        <f t="shared" si="9"/>
        <v>15.558372115199987</v>
      </c>
      <c r="H66">
        <f t="shared" si="9"/>
        <v>17.287080127999985</v>
      </c>
      <c r="I66">
        <f t="shared" si="9"/>
        <v>20.744496153599982</v>
      </c>
      <c r="J66">
        <f t="shared" si="9"/>
        <v>22.473204166399981</v>
      </c>
      <c r="K66">
        <f t="shared" si="9"/>
        <v>25.930620191999978</v>
      </c>
    </row>
    <row r="67" spans="1:11" x14ac:dyDescent="0.15">
      <c r="A67">
        <v>109</v>
      </c>
      <c r="B67">
        <f>IF(A67&gt;=101,IF(A67&gt;=140,IF(A67&gt;=149,IF(A67&gt;171+IF(入力!$B$2="男",1,0)*13,NA(),5),4),3),NA())+IF(入力!$B$2="男",0,1)*6</f>
        <v>9</v>
      </c>
      <c r="C67">
        <f t="shared" si="8"/>
        <v>17.655981650999962</v>
      </c>
      <c r="D67">
        <f t="shared" si="10"/>
        <v>15.890383485899966</v>
      </c>
      <c r="E67">
        <f t="shared" si="9"/>
        <v>5.2967944952999888</v>
      </c>
      <c r="F67">
        <f t="shared" si="9"/>
        <v>14.124785320799971</v>
      </c>
      <c r="G67">
        <f t="shared" si="9"/>
        <v>15.890383485899966</v>
      </c>
      <c r="H67">
        <f t="shared" si="9"/>
        <v>17.655981650999962</v>
      </c>
      <c r="I67">
        <f t="shared" si="9"/>
        <v>21.187177981199955</v>
      </c>
      <c r="J67">
        <f t="shared" si="9"/>
        <v>22.95277614629995</v>
      </c>
      <c r="K67">
        <f t="shared" si="9"/>
        <v>26.483972476499943</v>
      </c>
    </row>
    <row r="68" spans="1:11" x14ac:dyDescent="0.15">
      <c r="A68">
        <v>110</v>
      </c>
      <c r="B68">
        <f>IF(A68&gt;=101,IF(A68&gt;=140,IF(A68&gt;=149,IF(A68&gt;171+IF(入力!$B$2="男",1,0)*13,NA(),5),4),3),NA())+IF(入力!$B$2="男",0,1)*6</f>
        <v>9</v>
      </c>
      <c r="C68">
        <f t="shared" si="8"/>
        <v>18.025469000000015</v>
      </c>
      <c r="D68">
        <f t="shared" si="10"/>
        <v>16.222922100000016</v>
      </c>
      <c r="E68">
        <f t="shared" si="9"/>
        <v>5.4076407000000044</v>
      </c>
      <c r="F68">
        <f t="shared" si="9"/>
        <v>14.420375200000013</v>
      </c>
      <c r="G68">
        <f t="shared" si="9"/>
        <v>16.222922100000016</v>
      </c>
      <c r="H68">
        <f t="shared" si="9"/>
        <v>18.025469000000015</v>
      </c>
      <c r="I68">
        <f t="shared" si="9"/>
        <v>21.630562800000018</v>
      </c>
      <c r="J68">
        <f t="shared" si="9"/>
        <v>23.433109700000021</v>
      </c>
      <c r="K68">
        <f t="shared" si="9"/>
        <v>27.038203500000023</v>
      </c>
    </row>
    <row r="69" spans="1:11" x14ac:dyDescent="0.15">
      <c r="A69">
        <v>111</v>
      </c>
      <c r="B69">
        <f>IF(A69&gt;=101,IF(A69&gt;=140,IF(A69&gt;=149,IF(A69&gt;171+IF(入力!$B$2="男",1,0)*13,NA(),5),4),3),NA())+IF(入力!$B$2="男",0,1)*6</f>
        <v>9</v>
      </c>
      <c r="C69">
        <f t="shared" si="8"/>
        <v>18.396308489000006</v>
      </c>
      <c r="D69">
        <f t="shared" si="10"/>
        <v>16.556677640100006</v>
      </c>
      <c r="E69">
        <f t="shared" si="9"/>
        <v>5.5188925467000018</v>
      </c>
      <c r="F69">
        <f t="shared" si="9"/>
        <v>14.717046791200005</v>
      </c>
      <c r="G69">
        <f t="shared" si="9"/>
        <v>16.556677640100006</v>
      </c>
      <c r="H69">
        <f t="shared" si="9"/>
        <v>18.396308489000006</v>
      </c>
      <c r="I69">
        <f t="shared" si="9"/>
        <v>22.075570186800007</v>
      </c>
      <c r="J69">
        <f t="shared" si="9"/>
        <v>23.915201035700008</v>
      </c>
      <c r="K69">
        <f t="shared" si="9"/>
        <v>27.594462733500009</v>
      </c>
    </row>
    <row r="70" spans="1:11" x14ac:dyDescent="0.15">
      <c r="A70">
        <v>112</v>
      </c>
      <c r="B70">
        <f>IF(A70&gt;=101,IF(A70&gt;=140,IF(A70&gt;=149,IF(A70&gt;171+IF(入力!$B$2="男",1,0)*13,NA(),5),4),3),NA())+IF(入力!$B$2="男",0,1)*6</f>
        <v>9</v>
      </c>
      <c r="C70">
        <f t="shared" si="8"/>
        <v>18.769266431999966</v>
      </c>
      <c r="D70">
        <f t="shared" si="10"/>
        <v>16.892339788799969</v>
      </c>
      <c r="E70">
        <f t="shared" si="9"/>
        <v>5.6307799295999894</v>
      </c>
      <c r="F70">
        <f t="shared" si="9"/>
        <v>15.015413145599974</v>
      </c>
      <c r="G70">
        <f t="shared" si="9"/>
        <v>16.892339788799969</v>
      </c>
      <c r="H70">
        <f t="shared" si="9"/>
        <v>18.769266431999966</v>
      </c>
      <c r="I70">
        <f t="shared" si="9"/>
        <v>22.523119718399958</v>
      </c>
      <c r="J70">
        <f t="shared" si="9"/>
        <v>24.400046361599959</v>
      </c>
      <c r="K70">
        <f t="shared" si="9"/>
        <v>28.15389964799995</v>
      </c>
    </row>
    <row r="71" spans="1:11" x14ac:dyDescent="0.15">
      <c r="A71">
        <v>113</v>
      </c>
      <c r="B71">
        <f>IF(A71&gt;=101,IF(A71&gt;=140,IF(A71&gt;=149,IF(A71&gt;171+IF(入力!$B$2="男",1,0)*13,NA(),5),4),3),NA())+IF(入力!$B$2="男",0,1)*6</f>
        <v>9</v>
      </c>
      <c r="C71">
        <f t="shared" si="8"/>
        <v>19.145109143000099</v>
      </c>
      <c r="D71">
        <f t="shared" si="10"/>
        <v>17.230598228700089</v>
      </c>
      <c r="E71">
        <f t="shared" si="9"/>
        <v>5.7435327429000296</v>
      </c>
      <c r="F71">
        <f t="shared" si="9"/>
        <v>15.316087314400079</v>
      </c>
      <c r="G71">
        <f t="shared" si="9"/>
        <v>17.230598228700089</v>
      </c>
      <c r="H71">
        <f t="shared" si="9"/>
        <v>19.145109143000099</v>
      </c>
      <c r="I71">
        <f t="shared" si="9"/>
        <v>22.974130971600118</v>
      </c>
      <c r="J71">
        <f t="shared" si="9"/>
        <v>24.888641885900128</v>
      </c>
      <c r="K71">
        <f t="shared" si="9"/>
        <v>28.717663714500148</v>
      </c>
    </row>
    <row r="72" spans="1:11" x14ac:dyDescent="0.15">
      <c r="A72">
        <v>114</v>
      </c>
      <c r="B72">
        <f>IF(A72&gt;=101,IF(A72&gt;=140,IF(A72&gt;=149,IF(A72&gt;171+IF(入力!$B$2="男",1,0)*13,NA(),5),4),3),NA())+IF(入力!$B$2="男",0,1)*6</f>
        <v>9</v>
      </c>
      <c r="C72">
        <f t="shared" si="8"/>
        <v>19.52460293599998</v>
      </c>
      <c r="D72">
        <f t="shared" si="10"/>
        <v>17.572142642399982</v>
      </c>
      <c r="E72">
        <f t="shared" si="9"/>
        <v>5.8573808807999939</v>
      </c>
      <c r="F72">
        <f t="shared" si="9"/>
        <v>15.619682348799984</v>
      </c>
      <c r="G72">
        <f t="shared" si="9"/>
        <v>17.572142642399982</v>
      </c>
      <c r="H72">
        <f t="shared" si="9"/>
        <v>19.52460293599998</v>
      </c>
      <c r="I72">
        <f t="shared" si="9"/>
        <v>23.429523523199975</v>
      </c>
      <c r="J72">
        <f t="shared" si="9"/>
        <v>25.381983816799973</v>
      </c>
      <c r="K72">
        <f t="shared" si="9"/>
        <v>29.286904403999969</v>
      </c>
    </row>
    <row r="73" spans="1:11" x14ac:dyDescent="0.15">
      <c r="A73">
        <v>115</v>
      </c>
      <c r="B73">
        <f>IF(A73&gt;=101,IF(A73&gt;=140,IF(A73&gt;=149,IF(A73&gt;171+IF(入力!$B$2="男",1,0)*13,NA(),5),4),3),NA())+IF(入力!$B$2="男",0,1)*6</f>
        <v>9</v>
      </c>
      <c r="C73">
        <f t="shared" si="8"/>
        <v>19.908514124999868</v>
      </c>
      <c r="D73">
        <f t="shared" si="10"/>
        <v>17.917662712499883</v>
      </c>
      <c r="E73">
        <f t="shared" si="9"/>
        <v>5.9725542374999607</v>
      </c>
      <c r="F73">
        <f t="shared" si="9"/>
        <v>15.926811299999896</v>
      </c>
      <c r="G73">
        <f t="shared" si="9"/>
        <v>17.917662712499883</v>
      </c>
      <c r="H73">
        <f t="shared" si="9"/>
        <v>19.908514124999868</v>
      </c>
      <c r="I73">
        <f t="shared" si="9"/>
        <v>23.890216949999843</v>
      </c>
      <c r="J73">
        <f t="shared" si="9"/>
        <v>25.881068362499828</v>
      </c>
      <c r="K73">
        <f t="shared" si="9"/>
        <v>29.862771187499803</v>
      </c>
    </row>
    <row r="74" spans="1:11" x14ac:dyDescent="0.15">
      <c r="A74">
        <v>116</v>
      </c>
      <c r="B74">
        <f>IF(A74&gt;=101,IF(A74&gt;=140,IF(A74&gt;=149,IF(A74&gt;171+IF(入力!$B$2="男",1,0)*13,NA(),5),4),3),NA())+IF(入力!$B$2="男",0,1)*6</f>
        <v>9</v>
      </c>
      <c r="C74">
        <f t="shared" si="8"/>
        <v>20.297609024000081</v>
      </c>
      <c r="D74">
        <f t="shared" si="10"/>
        <v>18.267848121600075</v>
      </c>
      <c r="E74">
        <f t="shared" si="9"/>
        <v>6.0892827072000246</v>
      </c>
      <c r="F74">
        <f t="shared" si="9"/>
        <v>16.238087219200064</v>
      </c>
      <c r="G74">
        <f t="shared" si="9"/>
        <v>18.267848121600075</v>
      </c>
      <c r="H74">
        <f t="shared" si="9"/>
        <v>20.297609024000081</v>
      </c>
      <c r="I74">
        <f t="shared" si="9"/>
        <v>24.357130828800098</v>
      </c>
      <c r="J74">
        <f t="shared" si="9"/>
        <v>26.386891731200105</v>
      </c>
      <c r="K74">
        <f t="shared" si="9"/>
        <v>30.446413536000122</v>
      </c>
    </row>
    <row r="75" spans="1:11" x14ac:dyDescent="0.15">
      <c r="A75">
        <v>117</v>
      </c>
      <c r="B75">
        <f>IF(A75&gt;=101,IF(A75&gt;=140,IF(A75&gt;=149,IF(A75&gt;171+IF(入力!$B$2="男",1,0)*13,NA(),5),4),3),NA())+IF(入力!$B$2="男",0,1)*6</f>
        <v>9</v>
      </c>
      <c r="C75">
        <f t="shared" si="8"/>
        <v>20.692653947000025</v>
      </c>
      <c r="D75">
        <f t="shared" si="10"/>
        <v>18.623388552300025</v>
      </c>
      <c r="E75">
        <f t="shared" si="10"/>
        <v>6.2077961841000073</v>
      </c>
      <c r="F75">
        <f t="shared" si="10"/>
        <v>16.554123157600021</v>
      </c>
      <c r="G75">
        <f t="shared" si="10"/>
        <v>18.623388552300025</v>
      </c>
      <c r="H75">
        <f t="shared" si="10"/>
        <v>20.692653947000025</v>
      </c>
      <c r="I75">
        <f t="shared" si="10"/>
        <v>24.831184736400029</v>
      </c>
      <c r="J75">
        <f t="shared" si="10"/>
        <v>26.900450131100033</v>
      </c>
      <c r="K75">
        <f t="shared" si="10"/>
        <v>31.038980920500038</v>
      </c>
    </row>
    <row r="76" spans="1:11" x14ac:dyDescent="0.15">
      <c r="A76">
        <v>118</v>
      </c>
      <c r="B76">
        <f>IF(A76&gt;=101,IF(A76&gt;=140,IF(A76&gt;=149,IF(A76&gt;171+IF(入力!$B$2="男",1,0)*13,NA(),5),4),3),NA())+IF(入力!$B$2="男",0,1)*6</f>
        <v>9</v>
      </c>
      <c r="C76">
        <f t="shared" si="8"/>
        <v>21.094415207999901</v>
      </c>
      <c r="D76">
        <f t="shared" ref="D76:K91" si="11">$C76*D$57</f>
        <v>18.984973687199911</v>
      </c>
      <c r="E76">
        <f t="shared" si="11"/>
        <v>6.3283245623999704</v>
      </c>
      <c r="F76">
        <f t="shared" si="11"/>
        <v>16.875532166399921</v>
      </c>
      <c r="G76">
        <f t="shared" si="11"/>
        <v>18.984973687199911</v>
      </c>
      <c r="H76">
        <f t="shared" si="11"/>
        <v>21.094415207999901</v>
      </c>
      <c r="I76">
        <f t="shared" si="11"/>
        <v>25.313298249599882</v>
      </c>
      <c r="J76">
        <f t="shared" si="11"/>
        <v>27.422739770399872</v>
      </c>
      <c r="K76">
        <f t="shared" si="11"/>
        <v>31.641622811999852</v>
      </c>
    </row>
    <row r="77" spans="1:11" x14ac:dyDescent="0.15">
      <c r="A77">
        <v>119</v>
      </c>
      <c r="B77">
        <f>IF(A77&gt;=101,IF(A77&gt;=140,IF(A77&gt;=149,IF(A77&gt;171+IF(入力!$B$2="男",1,0)*13,NA(),5),4),3),NA())+IF(入力!$B$2="男",0,1)*6</f>
        <v>9</v>
      </c>
      <c r="C77">
        <f t="shared" si="8"/>
        <v>21.503659121000027</v>
      </c>
      <c r="D77">
        <f t="shared" si="11"/>
        <v>19.353293208900023</v>
      </c>
      <c r="E77">
        <f t="shared" si="11"/>
        <v>6.4510977363000075</v>
      </c>
      <c r="F77">
        <f t="shared" si="11"/>
        <v>17.202927296800024</v>
      </c>
      <c r="G77">
        <f t="shared" si="11"/>
        <v>19.353293208900023</v>
      </c>
      <c r="H77">
        <f t="shared" si="11"/>
        <v>21.503659121000027</v>
      </c>
      <c r="I77">
        <f t="shared" si="11"/>
        <v>25.80439094520003</v>
      </c>
      <c r="J77">
        <f t="shared" si="11"/>
        <v>27.954756857300037</v>
      </c>
      <c r="K77">
        <f t="shared" si="11"/>
        <v>32.25548868150004</v>
      </c>
    </row>
    <row r="78" spans="1:11" x14ac:dyDescent="0.15">
      <c r="A78">
        <v>120</v>
      </c>
      <c r="B78">
        <f>IF(A78&gt;=101,IF(A78&gt;=140,IF(A78&gt;=149,IF(A78&gt;171+IF(入力!$B$2="男",1,0)*13,NA(),5),4),3),NA())+IF(入力!$B$2="男",0,1)*6</f>
        <v>9</v>
      </c>
      <c r="C78">
        <f t="shared" si="8"/>
        <v>21.921151999999921</v>
      </c>
      <c r="D78">
        <f t="shared" si="11"/>
        <v>19.729036799999928</v>
      </c>
      <c r="E78">
        <f t="shared" si="11"/>
        <v>6.5763455999999758</v>
      </c>
      <c r="F78">
        <f t="shared" si="11"/>
        <v>17.536921599999939</v>
      </c>
      <c r="G78">
        <f t="shared" si="11"/>
        <v>19.729036799999928</v>
      </c>
      <c r="H78">
        <f t="shared" si="11"/>
        <v>21.921151999999921</v>
      </c>
      <c r="I78">
        <f t="shared" si="11"/>
        <v>26.305382399999903</v>
      </c>
      <c r="J78">
        <f t="shared" si="11"/>
        <v>28.4974975999999</v>
      </c>
      <c r="K78">
        <f t="shared" si="11"/>
        <v>32.881727999999882</v>
      </c>
    </row>
    <row r="79" spans="1:11" x14ac:dyDescent="0.15">
      <c r="A79">
        <v>121</v>
      </c>
      <c r="B79">
        <f>IF(A79&gt;=101,IF(A79&gt;=140,IF(A79&gt;=149,IF(A79&gt;171+IF(入力!$B$2="男",1,0)*13,NA(),5),4),3),NA())+IF(入力!$B$2="男",0,1)*6</f>
        <v>9</v>
      </c>
      <c r="C79">
        <f t="shared" si="8"/>
        <v>22.347660159000014</v>
      </c>
      <c r="D79">
        <f t="shared" si="11"/>
        <v>20.112894143100014</v>
      </c>
      <c r="E79">
        <f t="shared" si="11"/>
        <v>6.7042980477000045</v>
      </c>
      <c r="F79">
        <f t="shared" si="11"/>
        <v>17.878128127200011</v>
      </c>
      <c r="G79">
        <f t="shared" si="11"/>
        <v>20.112894143100014</v>
      </c>
      <c r="H79">
        <f t="shared" si="11"/>
        <v>22.347660159000014</v>
      </c>
      <c r="I79">
        <f t="shared" si="11"/>
        <v>26.817192190800018</v>
      </c>
      <c r="J79">
        <f t="shared" si="11"/>
        <v>29.051958206700018</v>
      </c>
      <c r="K79">
        <f t="shared" si="11"/>
        <v>33.521490238500022</v>
      </c>
    </row>
    <row r="80" spans="1:11" x14ac:dyDescent="0.15">
      <c r="A80">
        <v>122</v>
      </c>
      <c r="B80">
        <f>IF(A80&gt;=101,IF(A80&gt;=140,IF(A80&gt;=149,IF(A80&gt;171+IF(入力!$B$2="男",1,0)*13,NA(),5),4),3),NA())+IF(入力!$B$2="男",0,1)*6</f>
        <v>9</v>
      </c>
      <c r="C80">
        <f t="shared" si="8"/>
        <v>22.783949912000054</v>
      </c>
      <c r="D80">
        <f t="shared" si="11"/>
        <v>20.505554920800048</v>
      </c>
      <c r="E80">
        <f t="shared" si="11"/>
        <v>6.8351849736000156</v>
      </c>
      <c r="F80">
        <f t="shared" si="11"/>
        <v>18.227159929600045</v>
      </c>
      <c r="G80">
        <f t="shared" si="11"/>
        <v>20.505554920800048</v>
      </c>
      <c r="H80">
        <f t="shared" si="11"/>
        <v>22.783949912000054</v>
      </c>
      <c r="I80">
        <f t="shared" si="11"/>
        <v>27.340739894400063</v>
      </c>
      <c r="J80">
        <f t="shared" si="11"/>
        <v>29.619134885600072</v>
      </c>
      <c r="K80">
        <f t="shared" si="11"/>
        <v>34.175924868000081</v>
      </c>
    </row>
    <row r="81" spans="1:11" x14ac:dyDescent="0.15">
      <c r="A81">
        <v>123</v>
      </c>
      <c r="B81">
        <f>IF(A81&gt;=101,IF(A81&gt;=140,IF(A81&gt;=149,IF(A81&gt;171+IF(入力!$B$2="男",1,0)*13,NA(),5),4),3),NA())+IF(入力!$B$2="男",0,1)*6</f>
        <v>9</v>
      </c>
      <c r="C81">
        <f t="shared" si="8"/>
        <v>23.230787572999901</v>
      </c>
      <c r="D81">
        <f t="shared" si="11"/>
        <v>20.907708815699912</v>
      </c>
      <c r="E81">
        <f t="shared" si="11"/>
        <v>6.9692362718999705</v>
      </c>
      <c r="F81">
        <f t="shared" si="11"/>
        <v>18.58463005839992</v>
      </c>
      <c r="G81">
        <f t="shared" si="11"/>
        <v>20.907708815699912</v>
      </c>
      <c r="H81">
        <f t="shared" si="11"/>
        <v>23.230787572999901</v>
      </c>
      <c r="I81">
        <f t="shared" si="11"/>
        <v>27.876945087599882</v>
      </c>
      <c r="J81">
        <f t="shared" si="11"/>
        <v>30.200023844899871</v>
      </c>
      <c r="K81">
        <f t="shared" si="11"/>
        <v>34.846181359499852</v>
      </c>
    </row>
    <row r="82" spans="1:11" x14ac:dyDescent="0.15">
      <c r="A82">
        <v>124</v>
      </c>
      <c r="B82">
        <f>IF(A82&gt;=101,IF(A82&gt;=140,IF(A82&gt;=149,IF(A82&gt;171+IF(入力!$B$2="男",1,0)*13,NA(),5),4),3),NA())+IF(入力!$B$2="男",0,1)*6</f>
        <v>9</v>
      </c>
      <c r="C82">
        <f t="shared" si="8"/>
        <v>23.688939456000043</v>
      </c>
      <c r="D82">
        <f t="shared" si="11"/>
        <v>21.320045510400039</v>
      </c>
      <c r="E82">
        <f t="shared" si="11"/>
        <v>7.1066818368000124</v>
      </c>
      <c r="F82">
        <f t="shared" si="11"/>
        <v>18.951151564800035</v>
      </c>
      <c r="G82">
        <f t="shared" si="11"/>
        <v>21.320045510400039</v>
      </c>
      <c r="H82">
        <f t="shared" si="11"/>
        <v>23.688939456000043</v>
      </c>
      <c r="I82">
        <f t="shared" si="11"/>
        <v>28.42672734720005</v>
      </c>
      <c r="J82">
        <f t="shared" si="11"/>
        <v>30.795621292800057</v>
      </c>
      <c r="K82">
        <f t="shared" si="11"/>
        <v>35.533409184000064</v>
      </c>
    </row>
    <row r="83" spans="1:11" x14ac:dyDescent="0.15">
      <c r="A83">
        <v>125</v>
      </c>
      <c r="B83">
        <f>IF(A83&gt;=101,IF(A83&gt;=140,IF(A83&gt;=149,IF(A83&gt;171+IF(入力!$B$2="男",1,0)*13,NA(),5),4),3),NA())+IF(入力!$B$2="男",0,1)*6</f>
        <v>9</v>
      </c>
      <c r="C83">
        <f t="shared" si="8"/>
        <v>24.159171875000055</v>
      </c>
      <c r="D83">
        <f t="shared" si="11"/>
        <v>21.743254687500052</v>
      </c>
      <c r="E83">
        <f t="shared" si="11"/>
        <v>7.2477515625000164</v>
      </c>
      <c r="F83">
        <f t="shared" si="11"/>
        <v>19.327337500000045</v>
      </c>
      <c r="G83">
        <f t="shared" si="11"/>
        <v>21.743254687500052</v>
      </c>
      <c r="H83">
        <f t="shared" si="11"/>
        <v>24.159171875000055</v>
      </c>
      <c r="I83">
        <f t="shared" si="11"/>
        <v>28.991006250000066</v>
      </c>
      <c r="J83">
        <f t="shared" si="11"/>
        <v>31.406923437500073</v>
      </c>
      <c r="K83">
        <f t="shared" si="11"/>
        <v>36.238757812500083</v>
      </c>
    </row>
    <row r="84" spans="1:11" x14ac:dyDescent="0.15">
      <c r="A84">
        <v>126</v>
      </c>
      <c r="B84">
        <f>IF(A84&gt;=101,IF(A84&gt;=140,IF(A84&gt;=149,IF(A84&gt;171+IF(入力!$B$2="男",1,0)*13,NA(),5),4),3),NA())+IF(入力!$B$2="男",0,1)*6</f>
        <v>9</v>
      </c>
      <c r="C84">
        <f t="shared" si="8"/>
        <v>24.642251143999914</v>
      </c>
      <c r="D84">
        <f t="shared" si="11"/>
        <v>22.178026029599923</v>
      </c>
      <c r="E84">
        <f t="shared" si="11"/>
        <v>7.3926753431999739</v>
      </c>
      <c r="F84">
        <f t="shared" si="11"/>
        <v>19.713800915199933</v>
      </c>
      <c r="G84">
        <f t="shared" si="11"/>
        <v>22.178026029599923</v>
      </c>
      <c r="H84">
        <f t="shared" si="11"/>
        <v>24.642251143999914</v>
      </c>
      <c r="I84">
        <f t="shared" si="11"/>
        <v>29.570701372799896</v>
      </c>
      <c r="J84">
        <f t="shared" si="11"/>
        <v>32.03492648719989</v>
      </c>
      <c r="K84">
        <f t="shared" si="11"/>
        <v>36.963376715999871</v>
      </c>
    </row>
    <row r="85" spans="1:11" x14ac:dyDescent="0.15">
      <c r="A85">
        <v>127</v>
      </c>
      <c r="B85">
        <f>IF(A85&gt;=101,IF(A85&gt;=140,IF(A85&gt;=149,IF(A85&gt;171+IF(入力!$B$2="男",1,0)*13,NA(),5),4),3),NA())+IF(入力!$B$2="男",0,1)*6</f>
        <v>9</v>
      </c>
      <c r="C85">
        <f t="shared" si="8"/>
        <v>25.138943576999992</v>
      </c>
      <c r="D85">
        <f t="shared" si="11"/>
        <v>22.625049219299992</v>
      </c>
      <c r="E85">
        <f t="shared" si="11"/>
        <v>7.5416830730999971</v>
      </c>
      <c r="F85">
        <f t="shared" si="11"/>
        <v>20.111154861599996</v>
      </c>
      <c r="G85">
        <f t="shared" si="11"/>
        <v>22.625049219299992</v>
      </c>
      <c r="H85">
        <f t="shared" si="11"/>
        <v>25.138943576999992</v>
      </c>
      <c r="I85">
        <f t="shared" si="11"/>
        <v>30.166732292399988</v>
      </c>
      <c r="J85">
        <f t="shared" si="11"/>
        <v>32.680626650099988</v>
      </c>
      <c r="K85">
        <f t="shared" si="11"/>
        <v>37.708415365499988</v>
      </c>
    </row>
    <row r="86" spans="1:11" x14ac:dyDescent="0.15">
      <c r="A86">
        <v>128</v>
      </c>
      <c r="B86">
        <f>IF(A86&gt;=101,IF(A86&gt;=140,IF(A86&gt;=149,IF(A86&gt;171+IF(入力!$B$2="男",1,0)*13,NA(),5),4),3),NA())+IF(入力!$B$2="男",0,1)*6</f>
        <v>9</v>
      </c>
      <c r="C86">
        <f t="shared" si="8"/>
        <v>25.65001548799998</v>
      </c>
      <c r="D86">
        <f t="shared" si="11"/>
        <v>23.085013939199982</v>
      </c>
      <c r="E86">
        <f t="shared" si="11"/>
        <v>7.6950046463999939</v>
      </c>
      <c r="F86">
        <f t="shared" si="11"/>
        <v>20.520012390399984</v>
      </c>
      <c r="G86">
        <f t="shared" si="11"/>
        <v>23.085013939199982</v>
      </c>
      <c r="H86">
        <f t="shared" si="11"/>
        <v>25.65001548799998</v>
      </c>
      <c r="I86">
        <f t="shared" si="11"/>
        <v>30.780018585599976</v>
      </c>
      <c r="J86">
        <f t="shared" si="11"/>
        <v>33.345020134399974</v>
      </c>
      <c r="K86">
        <f t="shared" si="11"/>
        <v>38.47502323199997</v>
      </c>
    </row>
    <row r="87" spans="1:11" x14ac:dyDescent="0.15">
      <c r="A87">
        <v>129</v>
      </c>
      <c r="B87">
        <f>IF(A87&gt;=101,IF(A87&gt;=140,IF(A87&gt;=149,IF(A87&gt;171+IF(入力!$B$2="男",1,0)*13,NA(),5),4),3),NA())+IF(入力!$B$2="男",0,1)*6</f>
        <v>9</v>
      </c>
      <c r="C87">
        <f t="shared" si="8"/>
        <v>26.176233190999966</v>
      </c>
      <c r="D87">
        <f t="shared" si="11"/>
        <v>23.558609871899971</v>
      </c>
      <c r="E87">
        <f t="shared" si="11"/>
        <v>7.8528699572999896</v>
      </c>
      <c r="F87">
        <f t="shared" si="11"/>
        <v>20.940986552799973</v>
      </c>
      <c r="G87">
        <f t="shared" si="11"/>
        <v>23.558609871899971</v>
      </c>
      <c r="H87">
        <f t="shared" si="11"/>
        <v>26.176233190999966</v>
      </c>
      <c r="I87">
        <f t="shared" si="11"/>
        <v>31.411479829199958</v>
      </c>
      <c r="J87">
        <f t="shared" si="11"/>
        <v>34.02910314829996</v>
      </c>
      <c r="K87">
        <f t="shared" si="11"/>
        <v>39.264349786499949</v>
      </c>
    </row>
    <row r="88" spans="1:11" x14ac:dyDescent="0.15">
      <c r="A88">
        <v>130</v>
      </c>
      <c r="B88">
        <f>IF(A88&gt;=101,IF(A88&gt;=140,IF(A88&gt;=149,IF(A88&gt;171+IF(入力!$B$2="男",1,0)*13,NA(),5),4),3),NA())+IF(入力!$B$2="男",0,1)*6</f>
        <v>9</v>
      </c>
      <c r="C88">
        <f t="shared" si="8"/>
        <v>26.718362999999982</v>
      </c>
      <c r="D88">
        <f t="shared" si="11"/>
        <v>24.046526699999983</v>
      </c>
      <c r="E88">
        <f t="shared" si="11"/>
        <v>8.0155088999999951</v>
      </c>
      <c r="F88">
        <f t="shared" si="11"/>
        <v>21.374690399999988</v>
      </c>
      <c r="G88">
        <f t="shared" si="11"/>
        <v>24.046526699999983</v>
      </c>
      <c r="H88">
        <f t="shared" si="11"/>
        <v>26.718362999999982</v>
      </c>
      <c r="I88">
        <f t="shared" si="11"/>
        <v>32.06203559999998</v>
      </c>
      <c r="J88">
        <f t="shared" si="11"/>
        <v>34.733871899999976</v>
      </c>
      <c r="K88">
        <f t="shared" si="11"/>
        <v>40.077544499999973</v>
      </c>
    </row>
    <row r="89" spans="1:11" x14ac:dyDescent="0.15">
      <c r="A89">
        <v>131</v>
      </c>
      <c r="B89">
        <f>IF(A89&gt;=101,IF(A89&gt;=140,IF(A89&gt;=149,IF(A89&gt;171+IF(入力!$B$2="男",1,0)*13,NA(),5),4),3),NA())+IF(入力!$B$2="男",0,1)*6</f>
        <v>9</v>
      </c>
      <c r="C89">
        <f t="shared" si="8"/>
        <v>27.277171229000004</v>
      </c>
      <c r="D89">
        <f t="shared" si="11"/>
        <v>24.549454106100004</v>
      </c>
      <c r="E89">
        <f t="shared" si="11"/>
        <v>8.1831513687000008</v>
      </c>
      <c r="F89">
        <f t="shared" si="11"/>
        <v>21.821736983200005</v>
      </c>
      <c r="G89">
        <f t="shared" si="11"/>
        <v>24.549454106100004</v>
      </c>
      <c r="H89">
        <f t="shared" si="11"/>
        <v>27.277171229000004</v>
      </c>
      <c r="I89">
        <f t="shared" si="11"/>
        <v>32.732605474800003</v>
      </c>
      <c r="J89">
        <f t="shared" si="11"/>
        <v>35.460322597700006</v>
      </c>
      <c r="K89">
        <f t="shared" si="11"/>
        <v>40.915756843500006</v>
      </c>
    </row>
    <row r="90" spans="1:11" x14ac:dyDescent="0.15">
      <c r="A90">
        <v>132</v>
      </c>
      <c r="B90">
        <f>IF(A90&gt;=101,IF(A90&gt;=140,IF(A90&gt;=149,IF(A90&gt;171+IF(入力!$B$2="男",1,0)*13,NA(),5),4),3),NA())+IF(入力!$B$2="男",0,1)*6</f>
        <v>9</v>
      </c>
      <c r="C90">
        <f t="shared" si="8"/>
        <v>27.853424191999949</v>
      </c>
      <c r="D90">
        <f t="shared" si="11"/>
        <v>25.068081772799953</v>
      </c>
      <c r="E90">
        <f t="shared" si="11"/>
        <v>8.356027257599985</v>
      </c>
      <c r="F90">
        <f t="shared" si="11"/>
        <v>22.282739353599961</v>
      </c>
      <c r="G90">
        <f t="shared" si="11"/>
        <v>25.068081772799953</v>
      </c>
      <c r="H90">
        <f t="shared" si="11"/>
        <v>27.853424191999949</v>
      </c>
      <c r="I90">
        <f t="shared" si="11"/>
        <v>33.42410903039994</v>
      </c>
      <c r="J90">
        <f t="shared" si="11"/>
        <v>36.209451449599932</v>
      </c>
      <c r="K90">
        <f t="shared" si="11"/>
        <v>41.780136287999923</v>
      </c>
    </row>
    <row r="91" spans="1:11" x14ac:dyDescent="0.15">
      <c r="A91">
        <v>133</v>
      </c>
      <c r="B91">
        <f>IF(A91&gt;=101,IF(A91&gt;=140,IF(A91&gt;=149,IF(A91&gt;171+IF(入力!$B$2="男",1,0)*13,NA(),5),4),3),NA())+IF(入力!$B$2="男",0,1)*6</f>
        <v>9</v>
      </c>
      <c r="C91">
        <f t="shared" ref="C91:C142" si="12">INDEX(ito,$B91,6)*$A91^3+INDEX(ito,$B91,7)*$A91^2+INDEX(ito,$B91,8)*$A91+INDEX(ito,$B91,9)</f>
        <v>28.447888203000019</v>
      </c>
      <c r="D91">
        <f t="shared" si="11"/>
        <v>25.60309938270002</v>
      </c>
      <c r="E91">
        <f t="shared" si="11"/>
        <v>8.5343664609000047</v>
      </c>
      <c r="F91">
        <f t="shared" si="11"/>
        <v>22.758310562400016</v>
      </c>
      <c r="G91">
        <f t="shared" si="11"/>
        <v>25.60309938270002</v>
      </c>
      <c r="H91">
        <f t="shared" si="11"/>
        <v>28.447888203000019</v>
      </c>
      <c r="I91">
        <f t="shared" si="11"/>
        <v>34.137465843600019</v>
      </c>
      <c r="J91">
        <f t="shared" si="11"/>
        <v>36.982254663900029</v>
      </c>
      <c r="K91">
        <f t="shared" si="11"/>
        <v>42.671832304500029</v>
      </c>
    </row>
    <row r="92" spans="1:11" x14ac:dyDescent="0.15">
      <c r="A92">
        <v>134</v>
      </c>
      <c r="B92">
        <f>IF(A92&gt;=101,IF(A92&gt;=140,IF(A92&gt;=149,IF(A92&gt;171+IF(入力!$B$2="男",1,0)*13,NA(),5),4),3),NA())+IF(入力!$B$2="男",0,1)*6</f>
        <v>9</v>
      </c>
      <c r="C92">
        <f t="shared" si="12"/>
        <v>29.061329575999963</v>
      </c>
      <c r="D92">
        <f t="shared" ref="D92:K107" si="13">$C92*D$57</f>
        <v>26.155196618399966</v>
      </c>
      <c r="E92">
        <f t="shared" si="13"/>
        <v>8.7183988727999893</v>
      </c>
      <c r="F92">
        <f t="shared" si="13"/>
        <v>23.249063660799973</v>
      </c>
      <c r="G92">
        <f t="shared" si="13"/>
        <v>26.155196618399966</v>
      </c>
      <c r="H92">
        <f t="shared" si="13"/>
        <v>29.061329575999963</v>
      </c>
      <c r="I92">
        <f t="shared" si="13"/>
        <v>34.873595491199957</v>
      </c>
      <c r="J92">
        <f t="shared" si="13"/>
        <v>37.779728448799951</v>
      </c>
      <c r="K92">
        <f t="shared" si="13"/>
        <v>43.591994363999945</v>
      </c>
    </row>
    <row r="93" spans="1:11" x14ac:dyDescent="0.15">
      <c r="A93">
        <v>135</v>
      </c>
      <c r="B93">
        <f>IF(A93&gt;=101,IF(A93&gt;=140,IF(A93&gt;=149,IF(A93&gt;171+IF(入力!$B$2="男",1,0)*13,NA(),5),4),3),NA())+IF(入力!$B$2="男",0,1)*6</f>
        <v>9</v>
      </c>
      <c r="C93">
        <f t="shared" si="12"/>
        <v>29.694514624999982</v>
      </c>
      <c r="D93">
        <f t="shared" si="13"/>
        <v>26.725063162499985</v>
      </c>
      <c r="E93">
        <f t="shared" si="13"/>
        <v>8.908354387499994</v>
      </c>
      <c r="F93">
        <f t="shared" si="13"/>
        <v>23.755611699999989</v>
      </c>
      <c r="G93">
        <f t="shared" si="13"/>
        <v>26.725063162499985</v>
      </c>
      <c r="H93">
        <f t="shared" si="13"/>
        <v>29.694514624999982</v>
      </c>
      <c r="I93">
        <f t="shared" si="13"/>
        <v>35.633417549999976</v>
      </c>
      <c r="J93">
        <f t="shared" si="13"/>
        <v>38.60286901249998</v>
      </c>
      <c r="K93">
        <f t="shared" si="13"/>
        <v>44.541771937499973</v>
      </c>
    </row>
    <row r="94" spans="1:11" x14ac:dyDescent="0.15">
      <c r="A94">
        <v>136</v>
      </c>
      <c r="B94">
        <f>IF(A94&gt;=101,IF(A94&gt;=140,IF(A94&gt;=149,IF(A94&gt;171+IF(入力!$B$2="男",1,0)*13,NA(),5),4),3),NA())+IF(入力!$B$2="男",0,1)*6</f>
        <v>9</v>
      </c>
      <c r="C94">
        <f t="shared" si="12"/>
        <v>30.348209663999995</v>
      </c>
      <c r="D94">
        <f t="shared" si="13"/>
        <v>27.313388697599997</v>
      </c>
      <c r="E94">
        <f t="shared" si="13"/>
        <v>9.1044628991999978</v>
      </c>
      <c r="F94">
        <f t="shared" si="13"/>
        <v>24.278567731199999</v>
      </c>
      <c r="G94">
        <f t="shared" si="13"/>
        <v>27.313388697599997</v>
      </c>
      <c r="H94">
        <f t="shared" si="13"/>
        <v>30.348209663999995</v>
      </c>
      <c r="I94">
        <f t="shared" si="13"/>
        <v>36.417851596799991</v>
      </c>
      <c r="J94">
        <f t="shared" si="13"/>
        <v>39.452672563199997</v>
      </c>
      <c r="K94">
        <f t="shared" si="13"/>
        <v>45.522314495999993</v>
      </c>
    </row>
    <row r="95" spans="1:11" x14ac:dyDescent="0.15">
      <c r="A95">
        <v>137</v>
      </c>
      <c r="B95">
        <f>IF(A95&gt;=101,IF(A95&gt;=140,IF(A95&gt;=149,IF(A95&gt;171+IF(入力!$B$2="男",1,0)*13,NA(),5),4),3),NA())+IF(入力!$B$2="男",0,1)*6</f>
        <v>9</v>
      </c>
      <c r="C95">
        <f t="shared" si="12"/>
        <v>31.02318100699992</v>
      </c>
      <c r="D95">
        <f t="shared" si="13"/>
        <v>27.920862906299927</v>
      </c>
      <c r="E95">
        <f t="shared" si="13"/>
        <v>9.3069543020999763</v>
      </c>
      <c r="F95">
        <f t="shared" si="13"/>
        <v>24.818544805599938</v>
      </c>
      <c r="G95">
        <f t="shared" si="13"/>
        <v>27.920862906299927</v>
      </c>
      <c r="H95">
        <f t="shared" si="13"/>
        <v>31.02318100699992</v>
      </c>
      <c r="I95">
        <f t="shared" si="13"/>
        <v>37.227817208399905</v>
      </c>
      <c r="J95">
        <f t="shared" si="13"/>
        <v>40.330135309099894</v>
      </c>
      <c r="K95">
        <f t="shared" si="13"/>
        <v>46.53477151049988</v>
      </c>
    </row>
    <row r="96" spans="1:11" x14ac:dyDescent="0.15">
      <c r="A96">
        <v>138</v>
      </c>
      <c r="B96">
        <f>IF(A96&gt;=101,IF(A96&gt;=140,IF(A96&gt;=149,IF(A96&gt;171+IF(入力!$B$2="男",1,0)*13,NA(),5),4),3),NA())+IF(入力!$B$2="男",0,1)*6</f>
        <v>9</v>
      </c>
      <c r="C96">
        <f t="shared" si="12"/>
        <v>31.720194968000015</v>
      </c>
      <c r="D96">
        <f t="shared" si="13"/>
        <v>28.548175471200015</v>
      </c>
      <c r="E96">
        <f t="shared" si="13"/>
        <v>9.5160584904000043</v>
      </c>
      <c r="F96">
        <f t="shared" si="13"/>
        <v>25.376155974400014</v>
      </c>
      <c r="G96">
        <f t="shared" si="13"/>
        <v>28.548175471200015</v>
      </c>
      <c r="H96">
        <f t="shared" si="13"/>
        <v>31.720194968000015</v>
      </c>
      <c r="I96">
        <f t="shared" si="13"/>
        <v>38.064233961600017</v>
      </c>
      <c r="J96">
        <f t="shared" si="13"/>
        <v>41.236253458400022</v>
      </c>
      <c r="K96">
        <f t="shared" si="13"/>
        <v>47.580292452000023</v>
      </c>
    </row>
    <row r="97" spans="1:11" x14ac:dyDescent="0.15">
      <c r="A97">
        <v>139</v>
      </c>
      <c r="B97">
        <f>IF(A97&gt;=101,IF(A97&gt;=140,IF(A97&gt;=149,IF(A97&gt;171+IF(入力!$B$2="男",1,0)*13,NA(),5),4),3),NA())+IF(入力!$B$2="男",0,1)*6</f>
        <v>9</v>
      </c>
      <c r="C97">
        <f t="shared" si="12"/>
        <v>32.440017860999973</v>
      </c>
      <c r="D97">
        <f t="shared" si="13"/>
        <v>29.196016074899976</v>
      </c>
      <c r="E97">
        <f t="shared" si="13"/>
        <v>9.7320053582999915</v>
      </c>
      <c r="F97">
        <f t="shared" si="13"/>
        <v>25.95201428879998</v>
      </c>
      <c r="G97">
        <f t="shared" si="13"/>
        <v>29.196016074899976</v>
      </c>
      <c r="H97">
        <f t="shared" si="13"/>
        <v>32.440017860999973</v>
      </c>
      <c r="I97">
        <f t="shared" si="13"/>
        <v>38.928021433199966</v>
      </c>
      <c r="J97">
        <f t="shared" si="13"/>
        <v>42.172023219299966</v>
      </c>
      <c r="K97">
        <f t="shared" si="13"/>
        <v>48.660026791499959</v>
      </c>
    </row>
    <row r="98" spans="1:11" x14ac:dyDescent="0.15">
      <c r="A98">
        <v>140</v>
      </c>
      <c r="B98">
        <f>IF(A98&gt;=101,IF(A98&gt;=140,IF(A98&gt;=149,IF(A98&gt;171+IF(入力!$B$2="男",1,0)*13,NA(),5),4),3),NA())+IF(入力!$B$2="男",0,1)*6</f>
        <v>10</v>
      </c>
      <c r="C98">
        <f t="shared" si="12"/>
        <v>33.162160000000767</v>
      </c>
      <c r="D98">
        <f t="shared" si="13"/>
        <v>29.845944000000692</v>
      </c>
      <c r="E98">
        <f t="shared" si="13"/>
        <v>9.9486480000002295</v>
      </c>
      <c r="F98">
        <f t="shared" si="13"/>
        <v>26.529728000000617</v>
      </c>
      <c r="G98">
        <f t="shared" si="13"/>
        <v>29.845944000000692</v>
      </c>
      <c r="H98">
        <f t="shared" si="13"/>
        <v>33.162160000000767</v>
      </c>
      <c r="I98">
        <f t="shared" si="13"/>
        <v>39.794592000000918</v>
      </c>
      <c r="J98">
        <f t="shared" si="13"/>
        <v>43.110808000001001</v>
      </c>
      <c r="K98">
        <f t="shared" si="13"/>
        <v>49.743240000001151</v>
      </c>
    </row>
    <row r="99" spans="1:11" x14ac:dyDescent="0.15">
      <c r="A99">
        <v>141</v>
      </c>
      <c r="B99">
        <f>IF(A99&gt;=101,IF(A99&gt;=140,IF(A99&gt;=149,IF(A99&gt;171+IF(入力!$B$2="男",1,0)*13,NA(),5),4),3),NA())+IF(入力!$B$2="男",0,1)*6</f>
        <v>10</v>
      </c>
      <c r="C99">
        <f t="shared" si="12"/>
        <v>33.887229140001182</v>
      </c>
      <c r="D99">
        <f t="shared" si="13"/>
        <v>30.498506226001066</v>
      </c>
      <c r="E99">
        <f t="shared" si="13"/>
        <v>10.166168742000353</v>
      </c>
      <c r="F99">
        <f t="shared" si="13"/>
        <v>27.109783312000946</v>
      </c>
      <c r="G99">
        <f t="shared" si="13"/>
        <v>30.498506226001066</v>
      </c>
      <c r="H99">
        <f t="shared" si="13"/>
        <v>33.887229140001182</v>
      </c>
      <c r="I99">
        <f t="shared" si="13"/>
        <v>40.664674968001414</v>
      </c>
      <c r="J99">
        <f t="shared" si="13"/>
        <v>44.053397882001541</v>
      </c>
      <c r="K99">
        <f t="shared" si="13"/>
        <v>50.830843710001773</v>
      </c>
    </row>
    <row r="100" spans="1:11" x14ac:dyDescent="0.15">
      <c r="A100">
        <v>142</v>
      </c>
      <c r="B100">
        <f>IF(A100&gt;=101,IF(A100&gt;=140,IF(A100&gt;=149,IF(A100&gt;171+IF(入力!$B$2="男",1,0)*13,NA(),5),4),3),NA())+IF(入力!$B$2="男",0,1)*6</f>
        <v>10</v>
      </c>
      <c r="C100">
        <f t="shared" si="12"/>
        <v>34.707781919999434</v>
      </c>
      <c r="D100">
        <f t="shared" si="13"/>
        <v>31.23700372799949</v>
      </c>
      <c r="E100">
        <f t="shared" si="13"/>
        <v>10.41233457599983</v>
      </c>
      <c r="F100">
        <f t="shared" si="13"/>
        <v>27.766225535999549</v>
      </c>
      <c r="G100">
        <f t="shared" si="13"/>
        <v>31.23700372799949</v>
      </c>
      <c r="H100">
        <f t="shared" si="13"/>
        <v>34.707781919999434</v>
      </c>
      <c r="I100">
        <f t="shared" si="13"/>
        <v>41.649338303999322</v>
      </c>
      <c r="J100">
        <f t="shared" si="13"/>
        <v>45.120116495999262</v>
      </c>
      <c r="K100">
        <f t="shared" si="13"/>
        <v>52.061672879999151</v>
      </c>
    </row>
    <row r="101" spans="1:11" x14ac:dyDescent="0.15">
      <c r="A101">
        <v>143</v>
      </c>
      <c r="B101">
        <f>IF(A101&gt;=101,IF(A101&gt;=140,IF(A101&gt;=149,IF(A101&gt;171+IF(入力!$B$2="男",1,0)*13,NA(),5),4),3),NA())+IF(入力!$B$2="男",0,1)*6</f>
        <v>10</v>
      </c>
      <c r="C101">
        <f t="shared" si="12"/>
        <v>35.613092379998307</v>
      </c>
      <c r="D101">
        <f t="shared" si="13"/>
        <v>32.051783141998477</v>
      </c>
      <c r="E101">
        <f t="shared" si="13"/>
        <v>10.683927713999491</v>
      </c>
      <c r="F101">
        <f t="shared" si="13"/>
        <v>28.490473903998648</v>
      </c>
      <c r="G101">
        <f t="shared" si="13"/>
        <v>32.051783141998477</v>
      </c>
      <c r="H101">
        <f t="shared" si="13"/>
        <v>35.613092379998307</v>
      </c>
      <c r="I101">
        <f t="shared" si="13"/>
        <v>42.735710855997965</v>
      </c>
      <c r="J101">
        <f t="shared" si="13"/>
        <v>46.297020093997801</v>
      </c>
      <c r="K101">
        <f t="shared" si="13"/>
        <v>53.41963856999746</v>
      </c>
    </row>
    <row r="102" spans="1:11" x14ac:dyDescent="0.15">
      <c r="A102">
        <v>144</v>
      </c>
      <c r="B102">
        <f>IF(A102&gt;=101,IF(A102&gt;=140,IF(A102&gt;=149,IF(A102&gt;171+IF(入力!$B$2="男",1,0)*13,NA(),5),4),3),NA())+IF(入力!$B$2="男",0,1)*6</f>
        <v>10</v>
      </c>
      <c r="C102">
        <f t="shared" si="12"/>
        <v>36.592434560000584</v>
      </c>
      <c r="D102">
        <f t="shared" si="13"/>
        <v>32.933191104000528</v>
      </c>
      <c r="E102">
        <f t="shared" si="13"/>
        <v>10.977730368000175</v>
      </c>
      <c r="F102">
        <f t="shared" si="13"/>
        <v>29.273947648000469</v>
      </c>
      <c r="G102">
        <f t="shared" si="13"/>
        <v>32.933191104000528</v>
      </c>
      <c r="H102">
        <f t="shared" si="13"/>
        <v>36.592434560000584</v>
      </c>
      <c r="I102">
        <f t="shared" si="13"/>
        <v>43.910921472000702</v>
      </c>
      <c r="J102">
        <f t="shared" si="13"/>
        <v>47.570164928000757</v>
      </c>
      <c r="K102">
        <f t="shared" si="13"/>
        <v>54.888651840000875</v>
      </c>
    </row>
    <row r="103" spans="1:11" x14ac:dyDescent="0.15">
      <c r="A103">
        <v>145</v>
      </c>
      <c r="B103">
        <f>IF(A103&gt;=101,IF(A103&gt;=140,IF(A103&gt;=149,IF(A103&gt;171+IF(入力!$B$2="男",1,0)*13,NA(),5),4),3),NA())+IF(入力!$B$2="男",0,1)*6</f>
        <v>10</v>
      </c>
      <c r="C103">
        <f t="shared" si="12"/>
        <v>37.635082500001772</v>
      </c>
      <c r="D103">
        <f t="shared" si="13"/>
        <v>33.871574250001593</v>
      </c>
      <c r="E103">
        <f t="shared" si="13"/>
        <v>11.290524750000531</v>
      </c>
      <c r="F103">
        <f t="shared" si="13"/>
        <v>30.108066000001418</v>
      </c>
      <c r="G103">
        <f t="shared" si="13"/>
        <v>33.871574250001593</v>
      </c>
      <c r="H103">
        <f t="shared" si="13"/>
        <v>37.635082500001772</v>
      </c>
      <c r="I103">
        <f t="shared" si="13"/>
        <v>45.162099000002122</v>
      </c>
      <c r="J103">
        <f t="shared" si="13"/>
        <v>48.925607250002308</v>
      </c>
      <c r="K103">
        <f t="shared" si="13"/>
        <v>56.452623750002658</v>
      </c>
    </row>
    <row r="104" spans="1:11" x14ac:dyDescent="0.15">
      <c r="A104">
        <v>146</v>
      </c>
      <c r="B104">
        <f>IF(A104&gt;=101,IF(A104&gt;=140,IF(A104&gt;=149,IF(A104&gt;171+IF(入力!$B$2="男",1,0)*13,NA(),5),4),3),NA())+IF(入力!$B$2="男",0,1)*6</f>
        <v>10</v>
      </c>
      <c r="C104">
        <f t="shared" si="12"/>
        <v>38.73031023999738</v>
      </c>
      <c r="D104">
        <f t="shared" si="13"/>
        <v>34.857279215997643</v>
      </c>
      <c r="E104">
        <f t="shared" si="13"/>
        <v>11.619093071999213</v>
      </c>
      <c r="F104">
        <f t="shared" si="13"/>
        <v>30.984248191997906</v>
      </c>
      <c r="G104">
        <f t="shared" si="13"/>
        <v>34.857279215997643</v>
      </c>
      <c r="H104">
        <f t="shared" si="13"/>
        <v>38.73031023999738</v>
      </c>
      <c r="I104">
        <f t="shared" si="13"/>
        <v>46.476372287996853</v>
      </c>
      <c r="J104">
        <f t="shared" si="13"/>
        <v>50.349403311996596</v>
      </c>
      <c r="K104">
        <f t="shared" si="13"/>
        <v>58.095465359996069</v>
      </c>
    </row>
    <row r="105" spans="1:11" x14ac:dyDescent="0.15">
      <c r="A105">
        <v>147</v>
      </c>
      <c r="B105">
        <f>IF(A105&gt;=101,IF(A105&gt;=140,IF(A105&gt;=149,IF(A105&gt;171+IF(入力!$B$2="男",1,0)*13,NA(),5),4),3),NA())+IF(入力!$B$2="男",0,1)*6</f>
        <v>10</v>
      </c>
      <c r="C105">
        <f t="shared" si="12"/>
        <v>39.867391820001103</v>
      </c>
      <c r="D105">
        <f t="shared" si="13"/>
        <v>35.880652638000996</v>
      </c>
      <c r="E105">
        <f t="shared" si="13"/>
        <v>11.960217546000331</v>
      </c>
      <c r="F105">
        <f t="shared" si="13"/>
        <v>31.893913456000885</v>
      </c>
      <c r="G105">
        <f t="shared" si="13"/>
        <v>35.880652638000996</v>
      </c>
      <c r="H105">
        <f t="shared" si="13"/>
        <v>39.867391820001103</v>
      </c>
      <c r="I105">
        <f t="shared" si="13"/>
        <v>47.840870184001325</v>
      </c>
      <c r="J105">
        <f t="shared" si="13"/>
        <v>51.827609366001433</v>
      </c>
      <c r="K105">
        <f t="shared" si="13"/>
        <v>59.801087730001655</v>
      </c>
    </row>
    <row r="106" spans="1:11" x14ac:dyDescent="0.15">
      <c r="A106">
        <v>148</v>
      </c>
      <c r="B106">
        <f>IF(A106&gt;=101,IF(A106&gt;=140,IF(A106&gt;=149,IF(A106&gt;171+IF(入力!$B$2="男",1,0)*13,NA(),5),4),3),NA())+IF(入力!$B$2="男",0,1)*6</f>
        <v>10</v>
      </c>
      <c r="C106">
        <f t="shared" si="12"/>
        <v>41.035601280001174</v>
      </c>
      <c r="D106">
        <f t="shared" si="13"/>
        <v>36.932041152001055</v>
      </c>
      <c r="E106">
        <f t="shared" si="13"/>
        <v>12.310680384000351</v>
      </c>
      <c r="F106">
        <f t="shared" si="13"/>
        <v>32.828481024000943</v>
      </c>
      <c r="G106">
        <f t="shared" si="13"/>
        <v>36.932041152001055</v>
      </c>
      <c r="H106">
        <f t="shared" si="13"/>
        <v>41.035601280001174</v>
      </c>
      <c r="I106">
        <f t="shared" si="13"/>
        <v>49.242721536001405</v>
      </c>
      <c r="J106">
        <f t="shared" si="13"/>
        <v>53.34628166400153</v>
      </c>
      <c r="K106">
        <f t="shared" si="13"/>
        <v>61.553401920001761</v>
      </c>
    </row>
    <row r="107" spans="1:11" x14ac:dyDescent="0.15">
      <c r="A107">
        <v>149</v>
      </c>
      <c r="B107">
        <f>IF(A107&gt;=101,IF(A107&gt;=140,IF(A107&gt;=149,IF(A107&gt;171+IF(入力!$B$2="男",1,0)*13,NA(),5),4),3),NA())+IF(入力!$B$2="男",0,1)*6</f>
        <v>11</v>
      </c>
      <c r="C107">
        <f t="shared" si="12"/>
        <v>42.356176548999883</v>
      </c>
      <c r="D107">
        <f t="shared" si="13"/>
        <v>38.120558894099894</v>
      </c>
      <c r="E107">
        <f t="shared" si="13"/>
        <v>12.706852964699964</v>
      </c>
      <c r="F107">
        <f t="shared" si="13"/>
        <v>33.884941239199911</v>
      </c>
      <c r="G107">
        <f t="shared" si="13"/>
        <v>38.120558894099894</v>
      </c>
      <c r="H107">
        <f t="shared" si="13"/>
        <v>42.356176548999883</v>
      </c>
      <c r="I107">
        <f t="shared" si="13"/>
        <v>50.827411858799856</v>
      </c>
      <c r="J107">
        <f t="shared" si="13"/>
        <v>55.063029513699853</v>
      </c>
      <c r="K107">
        <f t="shared" si="13"/>
        <v>63.534264823499825</v>
      </c>
    </row>
    <row r="108" spans="1:11" x14ac:dyDescent="0.15">
      <c r="A108">
        <v>150</v>
      </c>
      <c r="B108">
        <f>IF(A108&gt;=101,IF(A108&gt;=140,IF(A108&gt;=149,IF(A108&gt;171+IF(入力!$B$2="男",1,0)*13,NA(),5),4),3),NA())+IF(入力!$B$2="男",0,1)*6</f>
        <v>11</v>
      </c>
      <c r="C108">
        <f t="shared" si="12"/>
        <v>43.425874999999451</v>
      </c>
      <c r="D108">
        <f t="shared" ref="D108:K123" si="14">$C108*D$57</f>
        <v>39.083287499999507</v>
      </c>
      <c r="E108">
        <f t="shared" si="14"/>
        <v>13.027762499999834</v>
      </c>
      <c r="F108">
        <f t="shared" si="14"/>
        <v>34.740699999999563</v>
      </c>
      <c r="G108">
        <f t="shared" si="14"/>
        <v>39.083287499999507</v>
      </c>
      <c r="H108">
        <f t="shared" si="14"/>
        <v>43.425874999999451</v>
      </c>
      <c r="I108">
        <f t="shared" si="14"/>
        <v>52.111049999999338</v>
      </c>
      <c r="J108">
        <f t="shared" si="14"/>
        <v>56.453637499999289</v>
      </c>
      <c r="K108">
        <f t="shared" si="14"/>
        <v>65.138812499999176</v>
      </c>
    </row>
    <row r="109" spans="1:11" x14ac:dyDescent="0.15">
      <c r="A109">
        <v>151</v>
      </c>
      <c r="B109">
        <f>IF(A109&gt;=101,IF(A109&gt;=140,IF(A109&gt;=149,IF(A109&gt;171+IF(入力!$B$2="男",1,0)*13,NA(),5),4),3),NA())+IF(入力!$B$2="男",0,1)*6</f>
        <v>11</v>
      </c>
      <c r="C109">
        <f t="shared" si="12"/>
        <v>44.430824350999956</v>
      </c>
      <c r="D109">
        <f t="shared" si="14"/>
        <v>39.98774191589996</v>
      </c>
      <c r="E109">
        <f t="shared" si="14"/>
        <v>13.329247305299987</v>
      </c>
      <c r="F109">
        <f t="shared" si="14"/>
        <v>35.544659480799965</v>
      </c>
      <c r="G109">
        <f t="shared" si="14"/>
        <v>39.98774191589996</v>
      </c>
      <c r="H109">
        <f t="shared" si="14"/>
        <v>44.430824350999956</v>
      </c>
      <c r="I109">
        <f t="shared" si="14"/>
        <v>53.316989221199947</v>
      </c>
      <c r="J109">
        <f t="shared" si="14"/>
        <v>57.760071656299942</v>
      </c>
      <c r="K109">
        <f t="shared" si="14"/>
        <v>66.646236526499933</v>
      </c>
    </row>
    <row r="110" spans="1:11" x14ac:dyDescent="0.15">
      <c r="A110">
        <v>152</v>
      </c>
      <c r="B110">
        <f>IF(A110&gt;=101,IF(A110&gt;=140,IF(A110&gt;=149,IF(A110&gt;171+IF(入力!$B$2="男",1,0)*13,NA(),5),4),3),NA())+IF(入力!$B$2="男",0,1)*6</f>
        <v>11</v>
      </c>
      <c r="C110">
        <f t="shared" si="12"/>
        <v>45.376763007999671</v>
      </c>
      <c r="D110">
        <f t="shared" si="14"/>
        <v>40.839086707199705</v>
      </c>
      <c r="E110">
        <f t="shared" si="14"/>
        <v>13.6130289023999</v>
      </c>
      <c r="F110">
        <f t="shared" si="14"/>
        <v>36.301410406399739</v>
      </c>
      <c r="G110">
        <f t="shared" si="14"/>
        <v>40.839086707199705</v>
      </c>
      <c r="H110">
        <f t="shared" si="14"/>
        <v>45.376763007999671</v>
      </c>
      <c r="I110">
        <f t="shared" si="14"/>
        <v>54.452115609599602</v>
      </c>
      <c r="J110">
        <f t="shared" si="14"/>
        <v>58.989791910399575</v>
      </c>
      <c r="K110">
        <f t="shared" si="14"/>
        <v>68.065144511999506</v>
      </c>
    </row>
    <row r="111" spans="1:11" x14ac:dyDescent="0.15">
      <c r="A111">
        <v>153</v>
      </c>
      <c r="B111">
        <f>IF(A111&gt;=101,IF(A111&gt;=140,IF(A111&gt;=149,IF(A111&gt;171+IF(入力!$B$2="男",1,0)*13,NA(),5),4),3),NA())+IF(入力!$B$2="男",0,1)*6</f>
        <v>11</v>
      </c>
      <c r="C111">
        <f t="shared" si="12"/>
        <v>46.269429376999597</v>
      </c>
      <c r="D111">
        <f t="shared" si="14"/>
        <v>41.642486439299638</v>
      </c>
      <c r="E111">
        <f t="shared" si="14"/>
        <v>13.880828813099878</v>
      </c>
      <c r="F111">
        <f t="shared" si="14"/>
        <v>37.01554350159968</v>
      </c>
      <c r="G111">
        <f t="shared" si="14"/>
        <v>41.642486439299638</v>
      </c>
      <c r="H111">
        <f t="shared" si="14"/>
        <v>46.269429376999597</v>
      </c>
      <c r="I111">
        <f t="shared" si="14"/>
        <v>55.523315252399513</v>
      </c>
      <c r="J111">
        <f t="shared" si="14"/>
        <v>60.150258190099478</v>
      </c>
      <c r="K111">
        <f t="shared" si="14"/>
        <v>69.404144065499395</v>
      </c>
    </row>
    <row r="112" spans="1:11" x14ac:dyDescent="0.15">
      <c r="A112">
        <v>154</v>
      </c>
      <c r="B112">
        <f>IF(A112&gt;=101,IF(A112&gt;=140,IF(A112&gt;=149,IF(A112&gt;171+IF(入力!$B$2="男",1,0)*13,NA(),5),4),3),NA())+IF(入力!$B$2="男",0,1)*6</f>
        <v>11</v>
      </c>
      <c r="C112">
        <f t="shared" si="12"/>
        <v>47.114561864001644</v>
      </c>
      <c r="D112">
        <f t="shared" si="14"/>
        <v>42.403105677601481</v>
      </c>
      <c r="E112">
        <f t="shared" si="14"/>
        <v>14.134368559200492</v>
      </c>
      <c r="F112">
        <f t="shared" si="14"/>
        <v>37.691649491201318</v>
      </c>
      <c r="G112">
        <f t="shared" si="14"/>
        <v>42.403105677601481</v>
      </c>
      <c r="H112">
        <f t="shared" si="14"/>
        <v>47.114561864001644</v>
      </c>
      <c r="I112">
        <f t="shared" si="14"/>
        <v>56.53747423680197</v>
      </c>
      <c r="J112">
        <f t="shared" si="14"/>
        <v>61.24893042320214</v>
      </c>
      <c r="K112">
        <f t="shared" si="14"/>
        <v>70.671842796002466</v>
      </c>
    </row>
    <row r="113" spans="1:11" x14ac:dyDescent="0.15">
      <c r="A113">
        <v>155</v>
      </c>
      <c r="B113">
        <f>IF(A113&gt;=101,IF(A113&gt;=140,IF(A113&gt;=149,IF(A113&gt;171+IF(入力!$B$2="男",1,0)*13,NA(),5),4),3),NA())+IF(入力!$B$2="男",0,1)*6</f>
        <v>11</v>
      </c>
      <c r="C113">
        <f t="shared" si="12"/>
        <v>47.917898875001356</v>
      </c>
      <c r="D113">
        <f t="shared" si="14"/>
        <v>43.126108987501219</v>
      </c>
      <c r="E113">
        <f t="shared" si="14"/>
        <v>14.375369662500406</v>
      </c>
      <c r="F113">
        <f t="shared" si="14"/>
        <v>38.334319100001089</v>
      </c>
      <c r="G113">
        <f t="shared" si="14"/>
        <v>43.126108987501219</v>
      </c>
      <c r="H113">
        <f t="shared" si="14"/>
        <v>47.917898875001356</v>
      </c>
      <c r="I113">
        <f t="shared" si="14"/>
        <v>57.501478650001623</v>
      </c>
      <c r="J113">
        <f t="shared" si="14"/>
        <v>62.293268537501767</v>
      </c>
      <c r="K113">
        <f t="shared" si="14"/>
        <v>71.876848312502034</v>
      </c>
    </row>
    <row r="114" spans="1:11" x14ac:dyDescent="0.15">
      <c r="A114">
        <v>156</v>
      </c>
      <c r="B114">
        <f>IF(A114&gt;=101,IF(A114&gt;=140,IF(A114&gt;=149,IF(A114&gt;171+IF(入力!$B$2="男",1,0)*13,NA(),5),4),3),NA())+IF(入力!$B$2="男",0,1)*6</f>
        <v>11</v>
      </c>
      <c r="C114">
        <f t="shared" si="12"/>
        <v>48.685178816000644</v>
      </c>
      <c r="D114">
        <f t="shared" si="14"/>
        <v>43.816660934400581</v>
      </c>
      <c r="E114">
        <f t="shared" si="14"/>
        <v>14.605553644800192</v>
      </c>
      <c r="F114">
        <f t="shared" si="14"/>
        <v>38.948143052800518</v>
      </c>
      <c r="G114">
        <f t="shared" si="14"/>
        <v>43.816660934400581</v>
      </c>
      <c r="H114">
        <f t="shared" si="14"/>
        <v>48.685178816000644</v>
      </c>
      <c r="I114">
        <f t="shared" si="14"/>
        <v>58.422214579200769</v>
      </c>
      <c r="J114">
        <f t="shared" si="14"/>
        <v>63.290732460800839</v>
      </c>
      <c r="K114">
        <f t="shared" si="14"/>
        <v>73.027768224000965</v>
      </c>
    </row>
    <row r="115" spans="1:11" x14ac:dyDescent="0.15">
      <c r="A115">
        <v>157</v>
      </c>
      <c r="B115">
        <f>IF(A115&gt;=101,IF(A115&gt;=140,IF(A115&gt;=149,IF(A115&gt;171+IF(入力!$B$2="男",1,0)*13,NA(),5),4),3),NA())+IF(入力!$B$2="男",0,1)*6</f>
        <v>11</v>
      </c>
      <c r="C115">
        <f t="shared" si="12"/>
        <v>49.422140093001417</v>
      </c>
      <c r="D115">
        <f t="shared" si="14"/>
        <v>44.47992608370128</v>
      </c>
      <c r="E115">
        <f t="shared" si="14"/>
        <v>14.826642027900425</v>
      </c>
      <c r="F115">
        <f t="shared" si="14"/>
        <v>39.537712074401135</v>
      </c>
      <c r="G115">
        <f t="shared" si="14"/>
        <v>44.47992608370128</v>
      </c>
      <c r="H115">
        <f t="shared" si="14"/>
        <v>49.422140093001417</v>
      </c>
      <c r="I115">
        <f t="shared" si="14"/>
        <v>59.306568111601699</v>
      </c>
      <c r="J115">
        <f t="shared" si="14"/>
        <v>64.248782120901851</v>
      </c>
      <c r="K115">
        <f t="shared" si="14"/>
        <v>74.133210139502125</v>
      </c>
    </row>
    <row r="116" spans="1:11" x14ac:dyDescent="0.15">
      <c r="A116">
        <v>158</v>
      </c>
      <c r="B116">
        <f>IF(A116&gt;=101,IF(A116&gt;=140,IF(A116&gt;=149,IF(A116&gt;171+IF(入力!$B$2="男",1,0)*13,NA(),5),4),3),NA())+IF(入力!$B$2="男",0,1)*6</f>
        <v>11</v>
      </c>
      <c r="C116">
        <f t="shared" si="12"/>
        <v>50.13452111200013</v>
      </c>
      <c r="D116">
        <f t="shared" si="14"/>
        <v>45.121069000800119</v>
      </c>
      <c r="E116">
        <f t="shared" si="14"/>
        <v>15.040356333600037</v>
      </c>
      <c r="F116">
        <f t="shared" si="14"/>
        <v>40.107616889600109</v>
      </c>
      <c r="G116">
        <f t="shared" si="14"/>
        <v>45.121069000800119</v>
      </c>
      <c r="H116">
        <f t="shared" si="14"/>
        <v>50.13452111200013</v>
      </c>
      <c r="I116">
        <f t="shared" si="14"/>
        <v>60.16142533440015</v>
      </c>
      <c r="J116">
        <f t="shared" si="14"/>
        <v>65.174877445600174</v>
      </c>
      <c r="K116">
        <f t="shared" si="14"/>
        <v>75.201781668000194</v>
      </c>
    </row>
    <row r="117" spans="1:11" x14ac:dyDescent="0.15">
      <c r="A117">
        <v>159</v>
      </c>
      <c r="B117">
        <f>IF(A117&gt;=101,IF(A117&gt;=140,IF(A117&gt;=149,IF(A117&gt;171+IF(入力!$B$2="男",1,0)*13,NA(),5),4),3),NA())+IF(入力!$B$2="男",0,1)*6</f>
        <v>11</v>
      </c>
      <c r="C117">
        <f t="shared" si="12"/>
        <v>50.82806027900051</v>
      </c>
      <c r="D117">
        <f t="shared" si="14"/>
        <v>45.745254251100462</v>
      </c>
      <c r="E117">
        <f t="shared" si="14"/>
        <v>15.248418083700152</v>
      </c>
      <c r="F117">
        <f t="shared" si="14"/>
        <v>40.662448223200414</v>
      </c>
      <c r="G117">
        <f t="shared" si="14"/>
        <v>45.745254251100462</v>
      </c>
      <c r="H117">
        <f t="shared" si="14"/>
        <v>50.82806027900051</v>
      </c>
      <c r="I117">
        <f t="shared" si="14"/>
        <v>60.993672334800607</v>
      </c>
      <c r="J117">
        <f t="shared" si="14"/>
        <v>66.076478362700669</v>
      </c>
      <c r="K117">
        <f t="shared" si="14"/>
        <v>76.242090418500766</v>
      </c>
    </row>
    <row r="118" spans="1:11" x14ac:dyDescent="0.15">
      <c r="A118">
        <v>160</v>
      </c>
      <c r="B118">
        <f>IF(A118&gt;=101,IF(A118&gt;=140,IF(A118&gt;=149,IF(A118&gt;171+IF(入力!$B$2="男",1,0)*13,NA(),5),4),3),NA())+IF(入力!$B$2="男",0,1)*6</f>
        <v>11</v>
      </c>
      <c r="C118">
        <f t="shared" si="12"/>
        <v>51.508495999999923</v>
      </c>
      <c r="D118">
        <f t="shared" si="14"/>
        <v>46.357646399999929</v>
      </c>
      <c r="E118">
        <f t="shared" si="14"/>
        <v>15.452548799999976</v>
      </c>
      <c r="F118">
        <f t="shared" si="14"/>
        <v>41.206796799999942</v>
      </c>
      <c r="G118">
        <f t="shared" si="14"/>
        <v>46.357646399999929</v>
      </c>
      <c r="H118">
        <f t="shared" si="14"/>
        <v>51.508495999999923</v>
      </c>
      <c r="I118">
        <f t="shared" si="14"/>
        <v>61.810195199999903</v>
      </c>
      <c r="J118">
        <f t="shared" si="14"/>
        <v>66.961044799999897</v>
      </c>
      <c r="K118">
        <f t="shared" si="14"/>
        <v>77.262743999999884</v>
      </c>
    </row>
    <row r="119" spans="1:11" x14ac:dyDescent="0.15">
      <c r="A119">
        <v>161</v>
      </c>
      <c r="B119">
        <f>IF(A119&gt;=101,IF(A119&gt;=140,IF(A119&gt;=149,IF(A119&gt;171+IF(入力!$B$2="男",1,0)*13,NA(),5),4),3),NA())+IF(入力!$B$2="男",0,1)*6</f>
        <v>11</v>
      </c>
      <c r="C119">
        <f t="shared" si="12"/>
        <v>52.181566680999367</v>
      </c>
      <c r="D119">
        <f t="shared" si="14"/>
        <v>46.963410012899431</v>
      </c>
      <c r="E119">
        <f t="shared" si="14"/>
        <v>15.65447000429981</v>
      </c>
      <c r="F119">
        <f t="shared" si="14"/>
        <v>41.745253344799494</v>
      </c>
      <c r="G119">
        <f t="shared" si="14"/>
        <v>46.963410012899431</v>
      </c>
      <c r="H119">
        <f t="shared" si="14"/>
        <v>52.181566680999367</v>
      </c>
      <c r="I119">
        <f t="shared" si="14"/>
        <v>62.617880017199241</v>
      </c>
      <c r="J119">
        <f t="shared" si="14"/>
        <v>67.836036685299177</v>
      </c>
      <c r="K119">
        <f t="shared" si="14"/>
        <v>78.272350021499051</v>
      </c>
    </row>
    <row r="120" spans="1:11" x14ac:dyDescent="0.15">
      <c r="A120">
        <v>162</v>
      </c>
      <c r="B120">
        <f>IF(A120&gt;=101,IF(A120&gt;=140,IF(A120&gt;=149,IF(A120&gt;171+IF(入力!$B$2="男",1,0)*13,NA(),5),4),3),NA())+IF(入力!$B$2="男",0,1)*6</f>
        <v>11</v>
      </c>
      <c r="C120">
        <f t="shared" si="12"/>
        <v>52.853010727998935</v>
      </c>
      <c r="D120">
        <f t="shared" si="14"/>
        <v>47.567709655199046</v>
      </c>
      <c r="E120">
        <f t="shared" si="14"/>
        <v>15.85590321839968</v>
      </c>
      <c r="F120">
        <f t="shared" si="14"/>
        <v>42.28240858239915</v>
      </c>
      <c r="G120">
        <f t="shared" si="14"/>
        <v>47.567709655199046</v>
      </c>
      <c r="H120">
        <f t="shared" si="14"/>
        <v>52.853010727998935</v>
      </c>
      <c r="I120">
        <f t="shared" si="14"/>
        <v>63.423612873598721</v>
      </c>
      <c r="J120">
        <f t="shared" si="14"/>
        <v>68.708913946398624</v>
      </c>
      <c r="K120">
        <f t="shared" si="14"/>
        <v>79.279516091998403</v>
      </c>
    </row>
    <row r="121" spans="1:11" x14ac:dyDescent="0.15">
      <c r="A121">
        <v>163</v>
      </c>
      <c r="B121">
        <f>IF(A121&gt;=101,IF(A121&gt;=140,IF(A121&gt;=149,IF(A121&gt;171+IF(入力!$B$2="男",1,0)*13,NA(),5),4),3),NA())+IF(入力!$B$2="男",0,1)*6</f>
        <v>11</v>
      </c>
      <c r="C121">
        <f t="shared" si="12"/>
        <v>53.528566546998718</v>
      </c>
      <c r="D121">
        <f t="shared" si="14"/>
        <v>48.175709892298848</v>
      </c>
      <c r="E121">
        <f t="shared" si="14"/>
        <v>16.058569964099615</v>
      </c>
      <c r="F121">
        <f t="shared" si="14"/>
        <v>42.822853237598977</v>
      </c>
      <c r="G121">
        <f t="shared" si="14"/>
        <v>48.175709892298848</v>
      </c>
      <c r="H121">
        <f t="shared" si="14"/>
        <v>53.528566546998718</v>
      </c>
      <c r="I121">
        <f t="shared" si="14"/>
        <v>64.234279856398459</v>
      </c>
      <c r="J121">
        <f t="shared" si="14"/>
        <v>69.587136511098336</v>
      </c>
      <c r="K121">
        <f t="shared" si="14"/>
        <v>80.292849820498077</v>
      </c>
    </row>
    <row r="122" spans="1:11" x14ac:dyDescent="0.15">
      <c r="A122">
        <v>164</v>
      </c>
      <c r="B122">
        <f>IF(A122&gt;=101,IF(A122&gt;=140,IF(A122&gt;=149,IF(A122&gt;171+IF(入力!$B$2="男",1,0)*13,NA(),5),4),3),NA())+IF(入力!$B$2="男",0,1)*6</f>
        <v>11</v>
      </c>
      <c r="C122">
        <f t="shared" si="12"/>
        <v>54.213972544000626</v>
      </c>
      <c r="D122">
        <f t="shared" si="14"/>
        <v>48.792575289600563</v>
      </c>
      <c r="E122">
        <f t="shared" si="14"/>
        <v>16.264191763200188</v>
      </c>
      <c r="F122">
        <f t="shared" si="14"/>
        <v>43.371178035200501</v>
      </c>
      <c r="G122">
        <f t="shared" si="14"/>
        <v>48.792575289600563</v>
      </c>
      <c r="H122">
        <f t="shared" si="14"/>
        <v>54.213972544000626</v>
      </c>
      <c r="I122">
        <f t="shared" si="14"/>
        <v>65.056767052800751</v>
      </c>
      <c r="J122">
        <f t="shared" si="14"/>
        <v>70.478164307200814</v>
      </c>
      <c r="K122">
        <f t="shared" si="14"/>
        <v>81.320958816000939</v>
      </c>
    </row>
    <row r="123" spans="1:11" x14ac:dyDescent="0.15">
      <c r="A123">
        <v>165</v>
      </c>
      <c r="B123">
        <f>IF(A123&gt;=101,IF(A123&gt;=140,IF(A123&gt;=149,IF(A123&gt;171+IF(入力!$B$2="男",1,0)*13,NA(),5),4),3),NA())+IF(入力!$B$2="男",0,1)*6</f>
        <v>11</v>
      </c>
      <c r="C123">
        <f t="shared" si="12"/>
        <v>54.914967124999293</v>
      </c>
      <c r="D123">
        <f t="shared" si="14"/>
        <v>49.423470412499363</v>
      </c>
      <c r="E123">
        <f t="shared" si="14"/>
        <v>16.474490137499789</v>
      </c>
      <c r="F123">
        <f t="shared" si="14"/>
        <v>43.931973699999439</v>
      </c>
      <c r="G123">
        <f t="shared" si="14"/>
        <v>49.423470412499363</v>
      </c>
      <c r="H123">
        <f t="shared" si="14"/>
        <v>54.914967124999293</v>
      </c>
      <c r="I123">
        <f t="shared" si="14"/>
        <v>65.897960549999155</v>
      </c>
      <c r="J123">
        <f t="shared" si="14"/>
        <v>71.389457262499079</v>
      </c>
      <c r="K123">
        <f t="shared" si="14"/>
        <v>82.37245068749894</v>
      </c>
    </row>
    <row r="124" spans="1:11" x14ac:dyDescent="0.15">
      <c r="A124">
        <v>166</v>
      </c>
      <c r="B124">
        <f>IF(A124&gt;=101,IF(A124&gt;=140,IF(A124&gt;=149,IF(A124&gt;171+IF(入力!$B$2="男",1,0)*13,NA(),5),4),3),NA())+IF(入力!$B$2="男",0,1)*6</f>
        <v>11</v>
      </c>
      <c r="C124">
        <f t="shared" si="12"/>
        <v>55.637288695999359</v>
      </c>
      <c r="D124">
        <f t="shared" ref="D124:K142" si="15">$C124*D$57</f>
        <v>50.073559826399425</v>
      </c>
      <c r="E124">
        <f t="shared" si="15"/>
        <v>16.691186608799807</v>
      </c>
      <c r="F124">
        <f t="shared" si="15"/>
        <v>44.50983095679949</v>
      </c>
      <c r="G124">
        <f t="shared" si="15"/>
        <v>50.073559826399425</v>
      </c>
      <c r="H124">
        <f t="shared" si="15"/>
        <v>55.637288695999359</v>
      </c>
      <c r="I124">
        <f t="shared" si="15"/>
        <v>66.764746435199228</v>
      </c>
      <c r="J124">
        <f t="shared" si="15"/>
        <v>72.32847530479917</v>
      </c>
      <c r="K124">
        <f t="shared" si="15"/>
        <v>83.455933043999039</v>
      </c>
    </row>
    <row r="125" spans="1:11" x14ac:dyDescent="0.15">
      <c r="A125">
        <v>167</v>
      </c>
      <c r="B125">
        <f>IF(A125&gt;=101,IF(A125&gt;=140,IF(A125&gt;=149,IF(A125&gt;171+IF(入力!$B$2="男",1,0)*13,NA(),5),4),3),NA())+IF(入力!$B$2="男",0,1)*6</f>
        <v>11</v>
      </c>
      <c r="C125">
        <f t="shared" si="12"/>
        <v>56.386675663000915</v>
      </c>
      <c r="D125">
        <f t="shared" si="15"/>
        <v>50.748008096700822</v>
      </c>
      <c r="E125">
        <f t="shared" si="15"/>
        <v>16.916002698900275</v>
      </c>
      <c r="F125">
        <f t="shared" si="15"/>
        <v>45.109340530400736</v>
      </c>
      <c r="G125">
        <f t="shared" si="15"/>
        <v>50.748008096700822</v>
      </c>
      <c r="H125">
        <f t="shared" si="15"/>
        <v>56.386675663000915</v>
      </c>
      <c r="I125">
        <f t="shared" si="15"/>
        <v>67.664010795601101</v>
      </c>
      <c r="J125">
        <f t="shared" si="15"/>
        <v>73.302678361901187</v>
      </c>
      <c r="K125">
        <f t="shared" si="15"/>
        <v>84.580013494501372</v>
      </c>
    </row>
    <row r="126" spans="1:11" x14ac:dyDescent="0.15">
      <c r="A126">
        <v>168</v>
      </c>
      <c r="B126">
        <f>IF(A126&gt;=101,IF(A126&gt;=140,IF(A126&gt;=149,IF(A126&gt;171+IF(入力!$B$2="男",1,0)*13,NA(),5),4),3),NA())+IF(入力!$B$2="男",0,1)*6</f>
        <v>11</v>
      </c>
      <c r="C126">
        <f t="shared" si="12"/>
        <v>57.168866432000414</v>
      </c>
      <c r="D126">
        <f t="shared" si="15"/>
        <v>51.451979788800372</v>
      </c>
      <c r="E126">
        <f t="shared" si="15"/>
        <v>17.150659929600124</v>
      </c>
      <c r="F126">
        <f t="shared" si="15"/>
        <v>45.735093145600331</v>
      </c>
      <c r="G126">
        <f t="shared" si="15"/>
        <v>51.451979788800372</v>
      </c>
      <c r="H126">
        <f t="shared" si="15"/>
        <v>57.168866432000414</v>
      </c>
      <c r="I126">
        <f t="shared" si="15"/>
        <v>68.602639718400496</v>
      </c>
      <c r="J126">
        <f t="shared" si="15"/>
        <v>74.319526361600538</v>
      </c>
      <c r="K126">
        <f t="shared" si="15"/>
        <v>85.75329964800062</v>
      </c>
    </row>
    <row r="127" spans="1:11" x14ac:dyDescent="0.15">
      <c r="A127">
        <v>169</v>
      </c>
      <c r="B127">
        <f>IF(A127&gt;=101,IF(A127&gt;=140,IF(A127&gt;=149,IF(A127&gt;171+IF(入力!$B$2="男",1,0)*13,NA(),5),4),3),NA())+IF(入力!$B$2="男",0,1)*6</f>
        <v>11</v>
      </c>
      <c r="C127">
        <f t="shared" si="12"/>
        <v>57.989599408999766</v>
      </c>
      <c r="D127">
        <f t="shared" si="15"/>
        <v>52.190639468099789</v>
      </c>
      <c r="E127">
        <f t="shared" si="15"/>
        <v>17.39687982269993</v>
      </c>
      <c r="F127">
        <f t="shared" si="15"/>
        <v>46.391679527199813</v>
      </c>
      <c r="G127">
        <f t="shared" si="15"/>
        <v>52.190639468099789</v>
      </c>
      <c r="H127">
        <f t="shared" si="15"/>
        <v>57.989599408999766</v>
      </c>
      <c r="I127">
        <f t="shared" si="15"/>
        <v>69.587519290799719</v>
      </c>
      <c r="J127">
        <f t="shared" si="15"/>
        <v>75.386479231699695</v>
      </c>
      <c r="K127">
        <f t="shared" si="15"/>
        <v>86.984399113499649</v>
      </c>
    </row>
    <row r="128" spans="1:11" x14ac:dyDescent="0.15">
      <c r="A128">
        <v>170</v>
      </c>
      <c r="B128">
        <f>IF(A128&gt;=101,IF(A128&gt;=140,IF(A128&gt;=149,IF(A128&gt;171+IF(入力!$B$2="男",1,0)*13,NA(),5),4),3),NA())+IF(入力!$B$2="男",0,1)*6</f>
        <v>11</v>
      </c>
      <c r="C128">
        <f t="shared" si="12"/>
        <v>58.854613000000882</v>
      </c>
      <c r="D128">
        <f t="shared" si="15"/>
        <v>52.969151700000793</v>
      </c>
      <c r="E128">
        <f t="shared" si="15"/>
        <v>17.656383900000264</v>
      </c>
      <c r="F128">
        <f t="shared" si="15"/>
        <v>47.083690400000705</v>
      </c>
      <c r="G128">
        <f t="shared" si="15"/>
        <v>52.969151700000793</v>
      </c>
      <c r="H128">
        <f t="shared" si="15"/>
        <v>58.854613000000882</v>
      </c>
      <c r="I128">
        <f t="shared" si="15"/>
        <v>70.625535600001058</v>
      </c>
      <c r="J128">
        <f t="shared" si="15"/>
        <v>76.510996900001146</v>
      </c>
      <c r="K128">
        <f t="shared" si="15"/>
        <v>88.281919500001322</v>
      </c>
    </row>
    <row r="129" spans="1:11" x14ac:dyDescent="0.15">
      <c r="A129">
        <v>171</v>
      </c>
      <c r="B129">
        <f>IF(A129&gt;=101,IF(A129&gt;=140,IF(A129&gt;=149,IF(A129&gt;171+IF(入力!$B$2="男",1,0)*13,NA(),5),4),3),NA())+IF(入力!$B$2="男",0,1)*6</f>
        <v>11</v>
      </c>
      <c r="C129">
        <f t="shared" si="12"/>
        <v>59.769645610998396</v>
      </c>
      <c r="D129">
        <f t="shared" si="15"/>
        <v>53.792681049898555</v>
      </c>
      <c r="E129">
        <f t="shared" si="15"/>
        <v>17.930893683299519</v>
      </c>
      <c r="F129">
        <f t="shared" si="15"/>
        <v>47.815716488798721</v>
      </c>
      <c r="G129">
        <f t="shared" si="15"/>
        <v>53.792681049898555</v>
      </c>
      <c r="H129">
        <f t="shared" si="15"/>
        <v>59.769645610998396</v>
      </c>
      <c r="I129">
        <f t="shared" si="15"/>
        <v>71.723574733198078</v>
      </c>
      <c r="J129">
        <f t="shared" si="15"/>
        <v>77.700539294297911</v>
      </c>
      <c r="K129">
        <f t="shared" si="15"/>
        <v>89.654468416497593</v>
      </c>
    </row>
    <row r="130" spans="1:11" x14ac:dyDescent="0.15">
      <c r="A130" t="e">
        <f>IF(入力!$B$2="男",172,NA())</f>
        <v>#N/A</v>
      </c>
      <c r="B130" t="e">
        <f>IF(A130&gt;=101,IF(A130&gt;=140,IF(A130&gt;=149,IF(A130&gt;171+IF(入力!$B$2="男",1,0)*13,NA(),5),4),3),NA())+IF(入力!$B$2="男",0,1)*6</f>
        <v>#N/A</v>
      </c>
      <c r="C130" t="e">
        <f t="shared" si="12"/>
        <v>#N/A</v>
      </c>
      <c r="D130" t="e">
        <f t="shared" si="15"/>
        <v>#N/A</v>
      </c>
      <c r="E130" t="e">
        <f t="shared" si="15"/>
        <v>#N/A</v>
      </c>
      <c r="F130" t="e">
        <f t="shared" si="15"/>
        <v>#N/A</v>
      </c>
      <c r="G130" t="e">
        <f t="shared" si="15"/>
        <v>#N/A</v>
      </c>
      <c r="H130" t="e">
        <f t="shared" si="15"/>
        <v>#N/A</v>
      </c>
      <c r="I130" t="e">
        <f t="shared" si="15"/>
        <v>#N/A</v>
      </c>
      <c r="J130" t="e">
        <f t="shared" si="15"/>
        <v>#N/A</v>
      </c>
      <c r="K130" t="e">
        <f t="shared" si="15"/>
        <v>#N/A</v>
      </c>
    </row>
    <row r="131" spans="1:11" x14ac:dyDescent="0.15">
      <c r="A131" t="e">
        <f>IF(入力!$B$2="男",173,NA())</f>
        <v>#N/A</v>
      </c>
      <c r="B131" t="e">
        <f>IF(A131&gt;=101,IF(A131&gt;=140,IF(A131&gt;=149,IF(A131&gt;171+IF(入力!$B$2="男",1,0)*13,NA(),5),4),3),NA())+IF(入力!$B$2="男",0,1)*6</f>
        <v>#N/A</v>
      </c>
      <c r="C131" t="e">
        <f t="shared" si="12"/>
        <v>#N/A</v>
      </c>
      <c r="D131" t="e">
        <f t="shared" si="15"/>
        <v>#N/A</v>
      </c>
      <c r="E131" t="e">
        <f t="shared" si="15"/>
        <v>#N/A</v>
      </c>
      <c r="F131" t="e">
        <f t="shared" si="15"/>
        <v>#N/A</v>
      </c>
      <c r="G131" t="e">
        <f t="shared" si="15"/>
        <v>#N/A</v>
      </c>
      <c r="H131" t="e">
        <f t="shared" si="15"/>
        <v>#N/A</v>
      </c>
      <c r="I131" t="e">
        <f t="shared" si="15"/>
        <v>#N/A</v>
      </c>
      <c r="J131" t="e">
        <f t="shared" si="15"/>
        <v>#N/A</v>
      </c>
      <c r="K131" t="e">
        <f t="shared" si="15"/>
        <v>#N/A</v>
      </c>
    </row>
    <row r="132" spans="1:11" x14ac:dyDescent="0.15">
      <c r="A132" t="e">
        <f>IF(入力!$B$2="男",174,NA())</f>
        <v>#N/A</v>
      </c>
      <c r="B132" t="e">
        <f>IF(A132&gt;=101,IF(A132&gt;=140,IF(A132&gt;=149,IF(A132&gt;171+IF(入力!$B$2="男",1,0)*13,NA(),5),4),3),NA())+IF(入力!$B$2="男",0,1)*6</f>
        <v>#N/A</v>
      </c>
      <c r="C132" t="e">
        <f t="shared" si="12"/>
        <v>#N/A</v>
      </c>
      <c r="D132" t="e">
        <f t="shared" si="15"/>
        <v>#N/A</v>
      </c>
      <c r="E132" t="e">
        <f t="shared" si="15"/>
        <v>#N/A</v>
      </c>
      <c r="F132" t="e">
        <f t="shared" si="15"/>
        <v>#N/A</v>
      </c>
      <c r="G132" t="e">
        <f t="shared" si="15"/>
        <v>#N/A</v>
      </c>
      <c r="H132" t="e">
        <f t="shared" si="15"/>
        <v>#N/A</v>
      </c>
      <c r="I132" t="e">
        <f t="shared" si="15"/>
        <v>#N/A</v>
      </c>
      <c r="J132" t="e">
        <f t="shared" si="15"/>
        <v>#N/A</v>
      </c>
      <c r="K132" t="e">
        <f t="shared" si="15"/>
        <v>#N/A</v>
      </c>
    </row>
    <row r="133" spans="1:11" x14ac:dyDescent="0.15">
      <c r="A133" t="e">
        <f>IF(入力!$B$2="男",175,NA())</f>
        <v>#N/A</v>
      </c>
      <c r="B133" t="e">
        <f>IF(A133&gt;=101,IF(A133&gt;=140,IF(A133&gt;=149,IF(A133&gt;171+IF(入力!$B$2="男",1,0)*13,NA(),5),4),3),NA())+IF(入力!$B$2="男",0,1)*6</f>
        <v>#N/A</v>
      </c>
      <c r="C133" t="e">
        <f t="shared" si="12"/>
        <v>#N/A</v>
      </c>
      <c r="D133" t="e">
        <f t="shared" si="15"/>
        <v>#N/A</v>
      </c>
      <c r="E133" t="e">
        <f t="shared" si="15"/>
        <v>#N/A</v>
      </c>
      <c r="F133" t="e">
        <f t="shared" si="15"/>
        <v>#N/A</v>
      </c>
      <c r="G133" t="e">
        <f t="shared" si="15"/>
        <v>#N/A</v>
      </c>
      <c r="H133" t="e">
        <f t="shared" si="15"/>
        <v>#N/A</v>
      </c>
      <c r="I133" t="e">
        <f t="shared" si="15"/>
        <v>#N/A</v>
      </c>
      <c r="J133" t="e">
        <f t="shared" si="15"/>
        <v>#N/A</v>
      </c>
      <c r="K133" t="e">
        <f t="shared" si="15"/>
        <v>#N/A</v>
      </c>
    </row>
    <row r="134" spans="1:11" x14ac:dyDescent="0.15">
      <c r="A134" t="e">
        <f>IF(入力!$B$2="男",176,NA())</f>
        <v>#N/A</v>
      </c>
      <c r="B134" t="e">
        <f>IF(A134&gt;=101,IF(A134&gt;=140,IF(A134&gt;=149,IF(A134&gt;171+IF(入力!$B$2="男",1,0)*13,NA(),5),4),3),NA())+IF(入力!$B$2="男",0,1)*6</f>
        <v>#N/A</v>
      </c>
      <c r="C134" t="e">
        <f t="shared" si="12"/>
        <v>#N/A</v>
      </c>
      <c r="D134" t="e">
        <f t="shared" si="15"/>
        <v>#N/A</v>
      </c>
      <c r="E134" t="e">
        <f t="shared" si="15"/>
        <v>#N/A</v>
      </c>
      <c r="F134" t="e">
        <f t="shared" si="15"/>
        <v>#N/A</v>
      </c>
      <c r="G134" t="e">
        <f t="shared" si="15"/>
        <v>#N/A</v>
      </c>
      <c r="H134" t="e">
        <f t="shared" si="15"/>
        <v>#N/A</v>
      </c>
      <c r="I134" t="e">
        <f t="shared" si="15"/>
        <v>#N/A</v>
      </c>
      <c r="J134" t="e">
        <f t="shared" si="15"/>
        <v>#N/A</v>
      </c>
      <c r="K134" t="e">
        <f t="shared" si="15"/>
        <v>#N/A</v>
      </c>
    </row>
    <row r="135" spans="1:11" x14ac:dyDescent="0.15">
      <c r="A135" t="e">
        <f>IF(入力!$B$2="男",177,NA())</f>
        <v>#N/A</v>
      </c>
      <c r="B135" t="e">
        <f>IF(A135&gt;=101,IF(A135&gt;=140,IF(A135&gt;=149,IF(A135&gt;171+IF(入力!$B$2="男",1,0)*13,NA(),5),4),3),NA())+IF(入力!$B$2="男",0,1)*6</f>
        <v>#N/A</v>
      </c>
      <c r="C135" t="e">
        <f t="shared" si="12"/>
        <v>#N/A</v>
      </c>
      <c r="D135" t="e">
        <f t="shared" si="15"/>
        <v>#N/A</v>
      </c>
      <c r="E135" t="e">
        <f t="shared" si="15"/>
        <v>#N/A</v>
      </c>
      <c r="F135" t="e">
        <f t="shared" si="15"/>
        <v>#N/A</v>
      </c>
      <c r="G135" t="e">
        <f t="shared" si="15"/>
        <v>#N/A</v>
      </c>
      <c r="H135" t="e">
        <f t="shared" si="15"/>
        <v>#N/A</v>
      </c>
      <c r="I135" t="e">
        <f t="shared" si="15"/>
        <v>#N/A</v>
      </c>
      <c r="J135" t="e">
        <f t="shared" si="15"/>
        <v>#N/A</v>
      </c>
      <c r="K135" t="e">
        <f t="shared" si="15"/>
        <v>#N/A</v>
      </c>
    </row>
    <row r="136" spans="1:11" x14ac:dyDescent="0.15">
      <c r="A136" t="e">
        <f>IF(入力!$B$2="男",178,NA())</f>
        <v>#N/A</v>
      </c>
      <c r="B136" t="e">
        <f>IF(A136&gt;=101,IF(A136&gt;=140,IF(A136&gt;=149,IF(A136&gt;171+IF(入力!$B$2="男",1,0)*13,NA(),5),4),3),NA())+IF(入力!$B$2="男",0,1)*6</f>
        <v>#N/A</v>
      </c>
      <c r="C136" t="e">
        <f t="shared" si="12"/>
        <v>#N/A</v>
      </c>
      <c r="D136" t="e">
        <f t="shared" si="15"/>
        <v>#N/A</v>
      </c>
      <c r="E136" t="e">
        <f t="shared" si="15"/>
        <v>#N/A</v>
      </c>
      <c r="F136" t="e">
        <f t="shared" si="15"/>
        <v>#N/A</v>
      </c>
      <c r="G136" t="e">
        <f t="shared" si="15"/>
        <v>#N/A</v>
      </c>
      <c r="H136" t="e">
        <f t="shared" si="15"/>
        <v>#N/A</v>
      </c>
      <c r="I136" t="e">
        <f t="shared" si="15"/>
        <v>#N/A</v>
      </c>
      <c r="J136" t="e">
        <f t="shared" si="15"/>
        <v>#N/A</v>
      </c>
      <c r="K136" t="e">
        <f t="shared" si="15"/>
        <v>#N/A</v>
      </c>
    </row>
    <row r="137" spans="1:11" x14ac:dyDescent="0.15">
      <c r="A137" t="e">
        <f>IF(入力!$B$2="男",179,NA())</f>
        <v>#N/A</v>
      </c>
      <c r="B137" t="e">
        <f>IF(A137&gt;=101,IF(A137&gt;=140,IF(A137&gt;=149,IF(A137&gt;171+IF(入力!$B$2="男",1,0)*13,NA(),5),4),3),NA())+IF(入力!$B$2="男",0,1)*6</f>
        <v>#N/A</v>
      </c>
      <c r="C137" t="e">
        <f t="shared" si="12"/>
        <v>#N/A</v>
      </c>
      <c r="D137" t="e">
        <f t="shared" si="15"/>
        <v>#N/A</v>
      </c>
      <c r="E137" t="e">
        <f t="shared" si="15"/>
        <v>#N/A</v>
      </c>
      <c r="F137" t="e">
        <f t="shared" si="15"/>
        <v>#N/A</v>
      </c>
      <c r="G137" t="e">
        <f t="shared" si="15"/>
        <v>#N/A</v>
      </c>
      <c r="H137" t="e">
        <f t="shared" si="15"/>
        <v>#N/A</v>
      </c>
      <c r="I137" t="e">
        <f t="shared" si="15"/>
        <v>#N/A</v>
      </c>
      <c r="J137" t="e">
        <f t="shared" si="15"/>
        <v>#N/A</v>
      </c>
      <c r="K137" t="e">
        <f t="shared" si="15"/>
        <v>#N/A</v>
      </c>
    </row>
    <row r="138" spans="1:11" x14ac:dyDescent="0.15">
      <c r="A138" t="e">
        <f>IF(入力!$B$2="男",180,NA())</f>
        <v>#N/A</v>
      </c>
      <c r="B138" t="e">
        <f>IF(A138&gt;=101,IF(A138&gt;=140,IF(A138&gt;=149,IF(A138&gt;171+IF(入力!$B$2="男",1,0)*13,NA(),5),4),3),NA())+IF(入力!$B$2="男",0,1)*6</f>
        <v>#N/A</v>
      </c>
      <c r="C138" t="e">
        <f t="shared" si="12"/>
        <v>#N/A</v>
      </c>
      <c r="D138" t="e">
        <f t="shared" si="15"/>
        <v>#N/A</v>
      </c>
      <c r="E138" t="e">
        <f t="shared" si="15"/>
        <v>#N/A</v>
      </c>
      <c r="F138" t="e">
        <f t="shared" si="15"/>
        <v>#N/A</v>
      </c>
      <c r="G138" t="e">
        <f t="shared" si="15"/>
        <v>#N/A</v>
      </c>
      <c r="H138" t="e">
        <f t="shared" si="15"/>
        <v>#N/A</v>
      </c>
      <c r="I138" t="e">
        <f t="shared" si="15"/>
        <v>#N/A</v>
      </c>
      <c r="J138" t="e">
        <f t="shared" si="15"/>
        <v>#N/A</v>
      </c>
      <c r="K138" t="e">
        <f t="shared" si="15"/>
        <v>#N/A</v>
      </c>
    </row>
    <row r="139" spans="1:11" x14ac:dyDescent="0.15">
      <c r="A139" t="e">
        <f>IF(入力!$B$2="男",181,NA())</f>
        <v>#N/A</v>
      </c>
      <c r="B139" t="e">
        <f>IF(A139&gt;=101,IF(A139&gt;=140,IF(A139&gt;=149,IF(A139&gt;171+IF(入力!$B$2="男",1,0)*13,NA(),5),4),3),NA())+IF(入力!$B$2="男",0,1)*6</f>
        <v>#N/A</v>
      </c>
      <c r="C139" t="e">
        <f t="shared" si="12"/>
        <v>#N/A</v>
      </c>
      <c r="D139" t="e">
        <f t="shared" si="15"/>
        <v>#N/A</v>
      </c>
      <c r="E139" t="e">
        <f t="shared" si="15"/>
        <v>#N/A</v>
      </c>
      <c r="F139" t="e">
        <f t="shared" si="15"/>
        <v>#N/A</v>
      </c>
      <c r="G139" t="e">
        <f t="shared" si="15"/>
        <v>#N/A</v>
      </c>
      <c r="H139" t="e">
        <f t="shared" si="15"/>
        <v>#N/A</v>
      </c>
      <c r="I139" t="e">
        <f t="shared" si="15"/>
        <v>#N/A</v>
      </c>
      <c r="J139" t="e">
        <f t="shared" si="15"/>
        <v>#N/A</v>
      </c>
      <c r="K139" t="e">
        <f t="shared" si="15"/>
        <v>#N/A</v>
      </c>
    </row>
    <row r="140" spans="1:11" x14ac:dyDescent="0.15">
      <c r="A140" t="e">
        <f>IF(入力!$B$2="男",182,NA())</f>
        <v>#N/A</v>
      </c>
      <c r="B140" t="e">
        <f>IF(A140&gt;=101,IF(A140&gt;=140,IF(A140&gt;=149,IF(A140&gt;171+IF(入力!$B$2="男",1,0)*13,NA(),5),4),3),NA())+IF(入力!$B$2="男",0,1)*6</f>
        <v>#N/A</v>
      </c>
      <c r="C140" t="e">
        <f t="shared" si="12"/>
        <v>#N/A</v>
      </c>
      <c r="D140" t="e">
        <f t="shared" si="15"/>
        <v>#N/A</v>
      </c>
      <c r="E140" t="e">
        <f t="shared" si="15"/>
        <v>#N/A</v>
      </c>
      <c r="F140" t="e">
        <f t="shared" si="15"/>
        <v>#N/A</v>
      </c>
      <c r="G140" t="e">
        <f t="shared" si="15"/>
        <v>#N/A</v>
      </c>
      <c r="H140" t="e">
        <f t="shared" si="15"/>
        <v>#N/A</v>
      </c>
      <c r="I140" t="e">
        <f t="shared" si="15"/>
        <v>#N/A</v>
      </c>
      <c r="J140" t="e">
        <f t="shared" si="15"/>
        <v>#N/A</v>
      </c>
      <c r="K140" t="e">
        <f t="shared" si="15"/>
        <v>#N/A</v>
      </c>
    </row>
    <row r="141" spans="1:11" x14ac:dyDescent="0.15">
      <c r="A141" t="e">
        <f>IF(入力!$B$2="男",183,NA())</f>
        <v>#N/A</v>
      </c>
      <c r="B141" t="e">
        <f>IF(A141&gt;=101,IF(A141&gt;=140,IF(A141&gt;=149,IF(A141&gt;171+IF(入力!$B$2="男",1,0)*13,NA(),5),4),3),NA())+IF(入力!$B$2="男",0,1)*6</f>
        <v>#N/A</v>
      </c>
      <c r="C141" t="e">
        <f t="shared" si="12"/>
        <v>#N/A</v>
      </c>
      <c r="D141" t="e">
        <f t="shared" si="15"/>
        <v>#N/A</v>
      </c>
      <c r="E141" t="e">
        <f t="shared" si="15"/>
        <v>#N/A</v>
      </c>
      <c r="F141" t="e">
        <f t="shared" si="15"/>
        <v>#N/A</v>
      </c>
      <c r="G141" t="e">
        <f t="shared" si="15"/>
        <v>#N/A</v>
      </c>
      <c r="H141" t="e">
        <f t="shared" si="15"/>
        <v>#N/A</v>
      </c>
      <c r="I141" t="e">
        <f t="shared" si="15"/>
        <v>#N/A</v>
      </c>
      <c r="J141" t="e">
        <f t="shared" si="15"/>
        <v>#N/A</v>
      </c>
      <c r="K141" t="e">
        <f t="shared" si="15"/>
        <v>#N/A</v>
      </c>
    </row>
    <row r="142" spans="1:11" x14ac:dyDescent="0.15">
      <c r="A142" t="e">
        <f>IF(入力!$B$2="男",184,NA())</f>
        <v>#N/A</v>
      </c>
      <c r="B142" t="e">
        <f>IF(A142&gt;=101,IF(A142&gt;=140,IF(A142&gt;=149,IF(A142&gt;171+IF(入力!$B$2="男",1,0)*13,NA(),5),4),3),NA())+IF(入力!$B$2="男",0,1)*6</f>
        <v>#N/A</v>
      </c>
      <c r="C142" t="e">
        <f t="shared" si="12"/>
        <v>#N/A</v>
      </c>
      <c r="D142" t="e">
        <f t="shared" si="15"/>
        <v>#N/A</v>
      </c>
      <c r="E142" t="e">
        <f t="shared" si="15"/>
        <v>#N/A</v>
      </c>
      <c r="F142" t="e">
        <f t="shared" si="15"/>
        <v>#N/A</v>
      </c>
      <c r="G142" t="e">
        <f t="shared" si="15"/>
        <v>#N/A</v>
      </c>
      <c r="H142" t="e">
        <f t="shared" si="15"/>
        <v>#N/A</v>
      </c>
      <c r="I142" t="e">
        <f t="shared" si="15"/>
        <v>#N/A</v>
      </c>
      <c r="J142" t="e">
        <f t="shared" si="15"/>
        <v>#N/A</v>
      </c>
      <c r="K142" t="e">
        <f t="shared" si="15"/>
        <v>#N/A</v>
      </c>
    </row>
  </sheetData>
  <sheetProtection sheet="1" objects="1" scenarios="1"/>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J31" sqref="J31"/>
    </sheetView>
  </sheetViews>
  <sheetFormatPr baseColWidth="12" defaultColWidth="9" defaultRowHeight="14" x14ac:dyDescent="0.15"/>
  <cols>
    <col min="1" max="4" width="9" style="4"/>
    <col min="5" max="5" width="13.6640625" style="4" customWidth="1"/>
    <col min="6" max="6" width="14.83203125" style="4" customWidth="1"/>
    <col min="7" max="8" width="13.6640625" style="4" customWidth="1"/>
    <col min="9" max="11" width="11.6640625" style="4" customWidth="1"/>
    <col min="12" max="16384" width="9" style="4"/>
  </cols>
  <sheetData>
    <row r="1" spans="1:8" x14ac:dyDescent="0.15">
      <c r="A1" s="4" t="s">
        <v>32</v>
      </c>
    </row>
    <row r="2" spans="1:8" x14ac:dyDescent="0.15">
      <c r="C2" s="4">
        <v>1</v>
      </c>
      <c r="D2" s="4">
        <v>2</v>
      </c>
      <c r="E2" s="4">
        <v>3</v>
      </c>
      <c r="F2" s="4">
        <v>4</v>
      </c>
      <c r="G2" s="4">
        <v>5</v>
      </c>
      <c r="H2" s="4">
        <v>6</v>
      </c>
    </row>
    <row r="3" spans="1:8" x14ac:dyDescent="0.15">
      <c r="E3" s="4" t="s">
        <v>26</v>
      </c>
      <c r="F3" s="4" t="s">
        <v>27</v>
      </c>
      <c r="G3" s="4" t="s">
        <v>28</v>
      </c>
      <c r="H3" s="4">
        <v>1</v>
      </c>
    </row>
    <row r="4" spans="1:8" x14ac:dyDescent="0.15">
      <c r="A4" s="4">
        <v>1</v>
      </c>
      <c r="B4" s="4" t="s">
        <v>10</v>
      </c>
      <c r="C4" s="5" t="s">
        <v>11</v>
      </c>
      <c r="D4" s="5"/>
    </row>
    <row r="5" spans="1:8" x14ac:dyDescent="0.15">
      <c r="A5" s="4">
        <v>2</v>
      </c>
      <c r="C5" s="4">
        <v>0</v>
      </c>
      <c r="D5" s="4">
        <v>78</v>
      </c>
      <c r="E5" s="4">
        <f>1.4345*10^-6</f>
        <v>1.4345E-6</v>
      </c>
      <c r="F5" s="6">
        <f>-0.000119864</f>
        <v>-1.19864E-4</v>
      </c>
      <c r="G5" s="6">
        <f>-0.037620259</f>
        <v>-3.7620259000000003E-2</v>
      </c>
      <c r="H5" s="6">
        <v>0.62407732199999999</v>
      </c>
    </row>
    <row r="6" spans="1:8" x14ac:dyDescent="0.15">
      <c r="A6" s="4">
        <v>3</v>
      </c>
      <c r="C6" s="4">
        <v>78</v>
      </c>
      <c r="D6" s="4">
        <v>150</v>
      </c>
      <c r="E6" s="4">
        <f>-3.06037*10^-6</f>
        <v>-3.0603699999999996E-6</v>
      </c>
      <c r="F6" s="6">
        <v>1.3879490000000001E-3</v>
      </c>
      <c r="G6" s="6">
        <v>-0.19079875399999999</v>
      </c>
      <c r="H6" s="6">
        <v>5.5315144910000003</v>
      </c>
    </row>
    <row r="7" spans="1:8" x14ac:dyDescent="0.15">
      <c r="A7" s="4">
        <v>4</v>
      </c>
      <c r="C7" s="4">
        <v>150</v>
      </c>
      <c r="D7" s="4">
        <v>210</v>
      </c>
      <c r="E7" s="4">
        <f>9.04656*10^-7</f>
        <v>9.0465599999999994E-7</v>
      </c>
      <c r="F7" s="6">
        <v>-6.6202999999999998E-4</v>
      </c>
      <c r="G7" s="6">
        <v>0.15655571400000001</v>
      </c>
      <c r="H7" s="6">
        <v>-13.829089850000001</v>
      </c>
    </row>
    <row r="8" spans="1:8" x14ac:dyDescent="0.15">
      <c r="A8" s="4">
        <v>5</v>
      </c>
      <c r="C8" s="7" t="s">
        <v>12</v>
      </c>
      <c r="D8" s="7"/>
      <c r="F8" s="6"/>
      <c r="G8" s="6"/>
      <c r="H8" s="6"/>
    </row>
    <row r="9" spans="1:8" x14ac:dyDescent="0.15">
      <c r="A9" s="4">
        <v>6</v>
      </c>
      <c r="C9" s="4">
        <v>0</v>
      </c>
      <c r="D9" s="4">
        <v>69</v>
      </c>
      <c r="E9" s="4">
        <f>3.47613*10^-7</f>
        <v>3.47613E-7</v>
      </c>
      <c r="F9" s="8">
        <f>-2.38575*10^-5</f>
        <v>-2.38575E-5</v>
      </c>
      <c r="G9" s="6">
        <v>-3.7631412000000003E-2</v>
      </c>
      <c r="H9" s="6">
        <v>0.79584630099999998</v>
      </c>
    </row>
    <row r="10" spans="1:8" x14ac:dyDescent="0.15">
      <c r="A10" s="4">
        <v>7</v>
      </c>
      <c r="C10" s="4">
        <v>69</v>
      </c>
      <c r="D10" s="4">
        <v>150</v>
      </c>
      <c r="E10" s="9">
        <f>-5.83768*10^-6</f>
        <v>-5.8376799999999995E-6</v>
      </c>
      <c r="F10" s="6">
        <v>2.1948250000000001E-3</v>
      </c>
      <c r="G10" s="6">
        <v>-0.25546500300000002</v>
      </c>
      <c r="H10" s="6">
        <v>7.2951426289999999</v>
      </c>
    </row>
    <row r="11" spans="1:8" x14ac:dyDescent="0.15">
      <c r="A11" s="4">
        <v>8</v>
      </c>
      <c r="C11" s="4">
        <v>150</v>
      </c>
      <c r="D11" s="4">
        <v>210</v>
      </c>
      <c r="E11" s="4">
        <f>5.41432*10^-6</f>
        <v>5.4143199999999997E-6</v>
      </c>
      <c r="F11" s="6">
        <v>-2.9650409999999999E-3</v>
      </c>
      <c r="G11" s="6">
        <v>0.53298464599999995</v>
      </c>
      <c r="H11" s="10">
        <v>-32.850825039999997</v>
      </c>
    </row>
    <row r="12" spans="1:8" x14ac:dyDescent="0.15">
      <c r="F12" s="6"/>
      <c r="G12" s="6"/>
      <c r="H12" s="6"/>
    </row>
    <row r="13" spans="1:8" x14ac:dyDescent="0.15">
      <c r="A13" s="4">
        <v>1</v>
      </c>
      <c r="B13" s="4" t="s">
        <v>13</v>
      </c>
      <c r="C13" s="5" t="s">
        <v>11</v>
      </c>
      <c r="D13" s="5"/>
      <c r="F13" s="6"/>
      <c r="G13" s="6"/>
      <c r="H13" s="6"/>
    </row>
    <row r="14" spans="1:8" x14ac:dyDescent="0.15">
      <c r="A14" s="4">
        <v>2</v>
      </c>
      <c r="C14" s="4">
        <v>0</v>
      </c>
      <c r="D14" s="4">
        <v>90</v>
      </c>
      <c r="E14" s="4">
        <f>-7.58553*10^-8</f>
        <v>-7.5855300000000003E-8</v>
      </c>
      <c r="F14" s="6">
        <f>2.1302*10^-5</f>
        <v>2.1302E-5</v>
      </c>
      <c r="G14" s="6">
        <v>-1.0948119999999999E-3</v>
      </c>
      <c r="H14" s="6">
        <v>9.0651064000000003E-2</v>
      </c>
    </row>
    <row r="15" spans="1:8" x14ac:dyDescent="0.15">
      <c r="A15" s="4">
        <v>3</v>
      </c>
      <c r="C15" s="4">
        <v>90</v>
      </c>
      <c r="D15" s="4">
        <v>210</v>
      </c>
      <c r="E15" s="4">
        <f>1.99415*10^-8</f>
        <v>1.99415E-8</v>
      </c>
      <c r="F15" s="6">
        <f>-1.37006*10^-5</f>
        <v>-1.3700600000000002E-5</v>
      </c>
      <c r="G15" s="6">
        <v>2.877807E-3</v>
      </c>
      <c r="H15" s="6">
        <v>-5.3198892999999997E-2</v>
      </c>
    </row>
    <row r="16" spans="1:8" x14ac:dyDescent="0.15">
      <c r="A16" s="4">
        <v>4</v>
      </c>
      <c r="C16" s="7" t="s">
        <v>12</v>
      </c>
      <c r="D16" s="7"/>
      <c r="F16" s="6"/>
      <c r="G16" s="6"/>
      <c r="H16" s="6"/>
    </row>
    <row r="17" spans="1:8" x14ac:dyDescent="0.15">
      <c r="A17" s="4">
        <v>5</v>
      </c>
      <c r="C17" s="4">
        <v>0</v>
      </c>
      <c r="D17" s="4">
        <v>90</v>
      </c>
      <c r="E17" s="4">
        <f>-1.0218*10^-7</f>
        <v>-1.0218000000000001E-7</v>
      </c>
      <c r="F17" s="6">
        <f>2.31971*10^-5</f>
        <v>2.3197100000000002E-5</v>
      </c>
      <c r="G17" s="6">
        <v>-9.2398299999999997E-4</v>
      </c>
      <c r="H17" s="10">
        <v>8.8969350000000003E-2</v>
      </c>
    </row>
    <row r="18" spans="1:8" x14ac:dyDescent="0.15">
      <c r="A18" s="4">
        <v>6</v>
      </c>
      <c r="C18" s="4">
        <v>90</v>
      </c>
      <c r="D18" s="4">
        <v>210</v>
      </c>
      <c r="E18" s="4">
        <f>2.10831*10^-8</f>
        <v>2.10831E-8</v>
      </c>
      <c r="F18" s="8">
        <f>-1.43497*10^-5</f>
        <v>-1.4349700000000003E-5</v>
      </c>
      <c r="G18" s="6">
        <v>2.8391459999999999E-3</v>
      </c>
      <c r="H18" s="6">
        <v>-3.5441888999999997E-2</v>
      </c>
    </row>
    <row r="19" spans="1:8" x14ac:dyDescent="0.15">
      <c r="F19" s="6"/>
      <c r="G19" s="6"/>
      <c r="H19" s="6"/>
    </row>
    <row r="20" spans="1:8" x14ac:dyDescent="0.15">
      <c r="A20" s="4">
        <v>1</v>
      </c>
      <c r="B20" s="4" t="s">
        <v>14</v>
      </c>
      <c r="C20" s="5" t="s">
        <v>11</v>
      </c>
      <c r="D20" s="5"/>
      <c r="F20" s="6"/>
      <c r="G20" s="6"/>
      <c r="H20" s="6"/>
    </row>
    <row r="21" spans="1:8" x14ac:dyDescent="0.15">
      <c r="A21" s="4">
        <v>2</v>
      </c>
      <c r="C21" s="4">
        <v>0</v>
      </c>
      <c r="D21" s="4">
        <v>2.5</v>
      </c>
      <c r="E21" s="4">
        <v>3.2048516999999999E-2</v>
      </c>
      <c r="F21" s="6">
        <v>-0.49343327300000001</v>
      </c>
      <c r="G21" s="6">
        <v>2.551397766</v>
      </c>
      <c r="H21" s="6">
        <v>12.622545369999999</v>
      </c>
    </row>
    <row r="22" spans="1:8" x14ac:dyDescent="0.15">
      <c r="A22" s="4">
        <v>3</v>
      </c>
      <c r="C22" s="4">
        <v>2.5</v>
      </c>
      <c r="D22" s="4">
        <v>9.5</v>
      </c>
      <c r="E22" s="4">
        <v>7.9728779999999992E-3</v>
      </c>
      <c r="F22" s="6">
        <v>-0.20199887699999999</v>
      </c>
      <c r="G22" s="6">
        <v>1.5434203399999999</v>
      </c>
      <c r="H22" s="11">
        <v>13.697217</v>
      </c>
    </row>
    <row r="23" spans="1:8" x14ac:dyDescent="0.15">
      <c r="A23" s="4">
        <v>4</v>
      </c>
      <c r="C23" s="4">
        <v>9.5</v>
      </c>
      <c r="D23" s="4">
        <v>26.75</v>
      </c>
      <c r="E23" s="4">
        <f>-7.67459*10^-5</f>
        <v>-7.6745900000000007E-5</v>
      </c>
      <c r="F23" s="6">
        <v>7.1739009999999999E-3</v>
      </c>
      <c r="G23" s="6">
        <v>-0.25176596400000001</v>
      </c>
      <c r="H23" s="6">
        <v>18.775188279999998</v>
      </c>
    </row>
    <row r="24" spans="1:8" x14ac:dyDescent="0.15">
      <c r="A24" s="4">
        <v>5</v>
      </c>
      <c r="C24" s="4">
        <v>26.75</v>
      </c>
      <c r="D24" s="4">
        <v>90</v>
      </c>
      <c r="E24" s="4">
        <f>-3.88384*10^-6</f>
        <v>-3.8838400000000002E-6</v>
      </c>
      <c r="F24" s="6">
        <v>1.076046E-3</v>
      </c>
      <c r="G24" s="6">
        <v>-8.1944536999999998E-2</v>
      </c>
      <c r="H24" s="6">
        <v>17.201186849999999</v>
      </c>
    </row>
    <row r="25" spans="1:8" x14ac:dyDescent="0.15">
      <c r="A25" s="4">
        <v>6</v>
      </c>
      <c r="C25" s="4">
        <v>90</v>
      </c>
      <c r="D25" s="4">
        <v>210</v>
      </c>
      <c r="E25" s="4">
        <f>-3.94748*10^-6</f>
        <v>-3.9474800000000002E-6</v>
      </c>
      <c r="F25" s="6">
        <v>1.7619249999999999E-3</v>
      </c>
      <c r="G25" s="6">
        <v>-0.20385642800000001</v>
      </c>
      <c r="H25" s="6">
        <v>22.664025769999999</v>
      </c>
    </row>
    <row r="26" spans="1:8" x14ac:dyDescent="0.15">
      <c r="A26" s="4">
        <v>7</v>
      </c>
      <c r="C26" s="7" t="s">
        <v>12</v>
      </c>
      <c r="D26" s="7"/>
      <c r="F26" s="6"/>
      <c r="G26" s="6"/>
      <c r="H26" s="6"/>
    </row>
    <row r="27" spans="1:8" x14ac:dyDescent="0.15">
      <c r="A27" s="4">
        <v>8</v>
      </c>
      <c r="C27" s="4">
        <v>0</v>
      </c>
      <c r="D27" s="4">
        <v>2.5</v>
      </c>
      <c r="E27" s="4">
        <v>1.9399718E-2</v>
      </c>
      <c r="F27" s="6">
        <v>-0.359429206</v>
      </c>
      <c r="G27" s="6">
        <v>2.139236779</v>
      </c>
      <c r="H27" s="10">
        <v>12.568967990000001</v>
      </c>
    </row>
    <row r="28" spans="1:8" x14ac:dyDescent="0.15">
      <c r="A28" s="4">
        <v>9</v>
      </c>
      <c r="C28" s="4">
        <v>2.5</v>
      </c>
      <c r="D28" s="4">
        <v>9.5</v>
      </c>
      <c r="E28" s="4">
        <v>7.3122990000000004E-3</v>
      </c>
      <c r="F28" s="6">
        <v>-0.194108219</v>
      </c>
      <c r="G28" s="6">
        <v>1.537772117</v>
      </c>
      <c r="H28" s="6">
        <v>13.228246929999999</v>
      </c>
    </row>
    <row r="29" spans="1:8" x14ac:dyDescent="0.15">
      <c r="A29" s="4">
        <v>10</v>
      </c>
      <c r="C29" s="4">
        <v>9.5</v>
      </c>
      <c r="D29" s="4">
        <v>26.75</v>
      </c>
      <c r="E29" s="4">
        <v>-1.68505E-4</v>
      </c>
      <c r="F29" s="6">
        <v>1.3702125000000001E-2</v>
      </c>
      <c r="G29" s="6">
        <v>-0.38528606199999998</v>
      </c>
      <c r="H29" s="10">
        <v>19.156269640000001</v>
      </c>
    </row>
    <row r="30" spans="1:8" x14ac:dyDescent="0.15">
      <c r="A30" s="4">
        <v>11</v>
      </c>
      <c r="C30" s="4">
        <v>26.75</v>
      </c>
      <c r="D30" s="4">
        <v>90</v>
      </c>
      <c r="E30" s="4">
        <f>-4.80005*10^-7</f>
        <v>-4.8000499999999999E-7</v>
      </c>
      <c r="F30" s="6">
        <v>3.5014300000000003E-4</v>
      </c>
      <c r="G30" s="6">
        <v>-3.1651292999999997E-2</v>
      </c>
      <c r="H30" s="10">
        <v>16.034501049999999</v>
      </c>
    </row>
    <row r="31" spans="1:8" x14ac:dyDescent="0.15">
      <c r="A31" s="4">
        <v>12</v>
      </c>
      <c r="C31" s="4">
        <v>90</v>
      </c>
      <c r="D31" s="4">
        <v>150</v>
      </c>
      <c r="E31" s="4">
        <f>-3.03967*10^-6</f>
        <v>-3.0396699999999999E-6</v>
      </c>
      <c r="F31" s="6">
        <v>1.541344E-3</v>
      </c>
      <c r="G31" s="6">
        <v>-0.183867689</v>
      </c>
      <c r="H31" s="10">
        <v>21.95124139</v>
      </c>
    </row>
    <row r="32" spans="1:8" x14ac:dyDescent="0.15">
      <c r="A32" s="4">
        <v>13</v>
      </c>
      <c r="C32" s="4">
        <v>150</v>
      </c>
      <c r="D32" s="4">
        <v>210</v>
      </c>
      <c r="E32" s="4">
        <f>-2.5069*10^-6</f>
        <v>-2.5068999999999997E-6</v>
      </c>
      <c r="F32" s="10">
        <v>6.4283000000000005E-4</v>
      </c>
      <c r="G32" s="6">
        <v>4.9828797000000001E-2</v>
      </c>
      <c r="H32" s="6">
        <v>5.3230503139999996</v>
      </c>
    </row>
    <row r="33" spans="6:7" x14ac:dyDescent="0.15">
      <c r="F33" s="6"/>
      <c r="G33" s="6"/>
    </row>
    <row r="34" spans="6:7" x14ac:dyDescent="0.15">
      <c r="F34" s="6"/>
      <c r="G34" s="6"/>
    </row>
    <row r="35" spans="6:7" x14ac:dyDescent="0.15">
      <c r="G35" s="6"/>
    </row>
  </sheetData>
  <sheetProtection sheet="1" objects="1" scenarios="1"/>
  <phoneticPr fontId="1"/>
  <pageMargins left="0.78700000000000003" right="0.78700000000000003" top="0.98399999999999999" bottom="0.98399999999999999" header="0.51200000000000001" footer="0.5120000000000000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8"/>
  <sheetViews>
    <sheetView workbookViewId="0">
      <pane xSplit="2" ySplit="1" topLeftCell="C2" activePane="bottomRight" state="frozen"/>
      <selection pane="topRight" activeCell="C1" sqref="C1"/>
      <selection pane="bottomLeft" activeCell="A2" sqref="A2"/>
      <selection pane="bottomRight" activeCell="Q39" sqref="Q39"/>
    </sheetView>
  </sheetViews>
  <sheetFormatPr baseColWidth="12" defaultColWidth="8.83203125" defaultRowHeight="14" x14ac:dyDescent="0.15"/>
  <cols>
    <col min="1" max="1" width="5.83203125" customWidth="1"/>
    <col min="2" max="2" width="5.33203125" style="2" customWidth="1"/>
    <col min="3" max="4" width="7.6640625" style="3" customWidth="1"/>
    <col min="5" max="5" width="6" customWidth="1"/>
    <col min="6" max="21" width="5.1640625" customWidth="1"/>
    <col min="22" max="23" width="4.6640625" customWidth="1"/>
    <col min="24" max="24" width="5.1640625" customWidth="1"/>
    <col min="25" max="25" width="5" customWidth="1"/>
    <col min="26" max="26" width="5.5" customWidth="1"/>
    <col min="27" max="27" width="5.1640625" customWidth="1"/>
    <col min="28" max="28" width="4.1640625" customWidth="1"/>
    <col min="29" max="31" width="6.6640625" customWidth="1"/>
    <col min="33" max="45" width="5" customWidth="1"/>
  </cols>
  <sheetData>
    <row r="1" spans="1:31" x14ac:dyDescent="0.15">
      <c r="A1" t="s">
        <v>165</v>
      </c>
      <c r="B1" s="2" t="s">
        <v>168</v>
      </c>
      <c r="E1" t="s">
        <v>164</v>
      </c>
      <c r="F1" t="s">
        <v>160</v>
      </c>
      <c r="G1" s="1" t="s">
        <v>2</v>
      </c>
      <c r="H1" s="1" t="s">
        <v>161</v>
      </c>
      <c r="I1" s="1" t="s">
        <v>162</v>
      </c>
      <c r="J1" s="1" t="s">
        <v>3</v>
      </c>
      <c r="K1" s="1" t="s">
        <v>159</v>
      </c>
      <c r="L1" s="1" t="s">
        <v>163</v>
      </c>
      <c r="M1" s="1"/>
      <c r="N1" t="s">
        <v>4</v>
      </c>
      <c r="O1" t="s">
        <v>160</v>
      </c>
      <c r="P1" s="1" t="s">
        <v>2</v>
      </c>
      <c r="Q1" s="1" t="s">
        <v>161</v>
      </c>
      <c r="R1" s="1" t="s">
        <v>162</v>
      </c>
      <c r="S1" s="1" t="s">
        <v>3</v>
      </c>
      <c r="T1" s="1"/>
      <c r="U1" s="2" t="s">
        <v>165</v>
      </c>
      <c r="V1" t="s">
        <v>166</v>
      </c>
      <c r="X1" s="1" t="s">
        <v>2</v>
      </c>
      <c r="Y1" s="1" t="s">
        <v>161</v>
      </c>
      <c r="Z1" s="1" t="s">
        <v>162</v>
      </c>
      <c r="AA1" s="1" t="s">
        <v>3</v>
      </c>
      <c r="AB1" t="s">
        <v>169</v>
      </c>
      <c r="AC1">
        <v>3</v>
      </c>
      <c r="AD1">
        <v>50</v>
      </c>
      <c r="AE1">
        <v>97</v>
      </c>
    </row>
    <row r="2" spans="1:31" x14ac:dyDescent="0.15">
      <c r="A2">
        <v>0</v>
      </c>
      <c r="B2" s="2">
        <v>0</v>
      </c>
      <c r="C2" s="3">
        <f>A2+B2/12</f>
        <v>0</v>
      </c>
      <c r="E2">
        <v>49</v>
      </c>
      <c r="F2">
        <v>2.1</v>
      </c>
      <c r="G2">
        <f t="shared" ref="G2:G65" si="0">$E2+2*$F2</f>
        <v>53.2</v>
      </c>
      <c r="H2">
        <f t="shared" ref="H2:H65" si="1">$E2+$F2</f>
        <v>51.1</v>
      </c>
      <c r="I2">
        <f t="shared" ref="I2:I65" si="2">$E2-$F2</f>
        <v>46.9</v>
      </c>
      <c r="J2">
        <f t="shared" ref="J2:J65" si="3">$E2-2*$F2</f>
        <v>44.8</v>
      </c>
      <c r="K2">
        <f t="shared" ref="K2:K65" si="4">$E2-2.5*$F2</f>
        <v>43.75</v>
      </c>
      <c r="L2">
        <f t="shared" ref="L2:L65" si="5">$E2-3*$F2</f>
        <v>42.7</v>
      </c>
      <c r="N2">
        <v>3</v>
      </c>
      <c r="O2">
        <v>0.42</v>
      </c>
      <c r="P2">
        <f>$N2+2*$O2</f>
        <v>3.84</v>
      </c>
      <c r="Q2">
        <f>$N2+$O2</f>
        <v>3.42</v>
      </c>
      <c r="R2">
        <f>$N2-$O2</f>
        <v>2.58</v>
      </c>
      <c r="S2">
        <f>$N2-2*$O2</f>
        <v>2.16</v>
      </c>
      <c r="U2">
        <v>0</v>
      </c>
      <c r="V2" s="2"/>
      <c r="AC2">
        <v>10.5</v>
      </c>
      <c r="AD2">
        <v>12.6</v>
      </c>
      <c r="AE2">
        <v>14.8</v>
      </c>
    </row>
    <row r="3" spans="1:31" x14ac:dyDescent="0.15">
      <c r="A3">
        <v>0</v>
      </c>
      <c r="B3" s="2">
        <v>1</v>
      </c>
      <c r="C3" s="3">
        <f t="shared" ref="C3:C66" si="6">A3+B3/12</f>
        <v>8.3333333333333329E-2</v>
      </c>
      <c r="E3">
        <v>53.5</v>
      </c>
      <c r="F3">
        <v>2.2000000000000002</v>
      </c>
      <c r="G3">
        <f t="shared" si="0"/>
        <v>57.9</v>
      </c>
      <c r="H3">
        <f t="shared" si="1"/>
        <v>55.7</v>
      </c>
      <c r="I3">
        <f t="shared" si="2"/>
        <v>51.3</v>
      </c>
      <c r="J3">
        <f t="shared" si="3"/>
        <v>49.1</v>
      </c>
      <c r="K3">
        <f t="shared" si="4"/>
        <v>48</v>
      </c>
      <c r="L3">
        <f t="shared" si="5"/>
        <v>46.9</v>
      </c>
      <c r="N3">
        <v>4.3</v>
      </c>
      <c r="O3">
        <v>0.61</v>
      </c>
      <c r="P3">
        <f t="shared" ref="P3:P66" si="7">$N3+2*$O3</f>
        <v>5.52</v>
      </c>
      <c r="Q3">
        <f t="shared" ref="Q3:Q66" si="8">$N3+$O3</f>
        <v>4.91</v>
      </c>
      <c r="R3">
        <f t="shared" ref="R3:R66" si="9">$N3-$O3</f>
        <v>3.69</v>
      </c>
      <c r="S3">
        <f t="shared" ref="S3:S66" si="10">$N3-2*$O3</f>
        <v>3.08</v>
      </c>
      <c r="U3">
        <v>0.25</v>
      </c>
      <c r="V3" s="2"/>
      <c r="AC3">
        <v>12.3</v>
      </c>
      <c r="AD3">
        <v>14.7</v>
      </c>
      <c r="AE3">
        <v>17.3</v>
      </c>
    </row>
    <row r="4" spans="1:31" x14ac:dyDescent="0.15">
      <c r="A4">
        <v>0</v>
      </c>
      <c r="B4" s="2">
        <v>2</v>
      </c>
      <c r="C4" s="3">
        <f t="shared" si="6"/>
        <v>0.16666666666666666</v>
      </c>
      <c r="E4">
        <v>57.9</v>
      </c>
      <c r="F4">
        <v>2.2000000000000002</v>
      </c>
      <c r="G4">
        <f t="shared" si="0"/>
        <v>62.3</v>
      </c>
      <c r="H4">
        <f t="shared" si="1"/>
        <v>60.1</v>
      </c>
      <c r="I4">
        <f t="shared" si="2"/>
        <v>55.699999999999996</v>
      </c>
      <c r="J4">
        <f t="shared" si="3"/>
        <v>53.5</v>
      </c>
      <c r="K4">
        <f t="shared" si="4"/>
        <v>52.4</v>
      </c>
      <c r="L4">
        <f t="shared" si="5"/>
        <v>51.3</v>
      </c>
      <c r="N4">
        <v>5.5</v>
      </c>
      <c r="O4">
        <v>0.67</v>
      </c>
      <c r="P4">
        <f t="shared" si="7"/>
        <v>6.84</v>
      </c>
      <c r="Q4">
        <f t="shared" si="8"/>
        <v>6.17</v>
      </c>
      <c r="R4">
        <f t="shared" si="9"/>
        <v>4.83</v>
      </c>
      <c r="S4">
        <f t="shared" si="10"/>
        <v>4.16</v>
      </c>
      <c r="U4">
        <v>0.5</v>
      </c>
      <c r="V4" s="2">
        <v>25.7</v>
      </c>
      <c r="AC4">
        <v>13.4</v>
      </c>
      <c r="AD4">
        <v>16</v>
      </c>
      <c r="AE4">
        <v>18.8</v>
      </c>
    </row>
    <row r="5" spans="1:31" x14ac:dyDescent="0.15">
      <c r="A5">
        <v>0</v>
      </c>
      <c r="B5" s="2">
        <v>3</v>
      </c>
      <c r="C5" s="3">
        <f t="shared" si="6"/>
        <v>0.25</v>
      </c>
      <c r="E5">
        <v>61.4</v>
      </c>
      <c r="F5">
        <v>2.2000000000000002</v>
      </c>
      <c r="G5">
        <f t="shared" si="0"/>
        <v>65.8</v>
      </c>
      <c r="H5">
        <f t="shared" si="1"/>
        <v>63.6</v>
      </c>
      <c r="I5">
        <f t="shared" si="2"/>
        <v>59.199999999999996</v>
      </c>
      <c r="J5">
        <f t="shared" si="3"/>
        <v>57</v>
      </c>
      <c r="K5">
        <f t="shared" si="4"/>
        <v>55.9</v>
      </c>
      <c r="L5">
        <f t="shared" si="5"/>
        <v>54.8</v>
      </c>
      <c r="N5">
        <v>6.4</v>
      </c>
      <c r="O5">
        <v>0.8</v>
      </c>
      <c r="P5">
        <f t="shared" si="7"/>
        <v>8</v>
      </c>
      <c r="Q5">
        <f t="shared" si="8"/>
        <v>7.2</v>
      </c>
      <c r="R5">
        <f t="shared" si="9"/>
        <v>5.6000000000000005</v>
      </c>
      <c r="S5">
        <f t="shared" si="10"/>
        <v>4.8000000000000007</v>
      </c>
      <c r="U5">
        <v>0.75</v>
      </c>
      <c r="V5" s="2">
        <v>17.7</v>
      </c>
      <c r="AC5">
        <v>14.1</v>
      </c>
      <c r="AD5">
        <v>16.7</v>
      </c>
      <c r="AE5">
        <v>19.600000000000001</v>
      </c>
    </row>
    <row r="6" spans="1:31" x14ac:dyDescent="0.15">
      <c r="A6">
        <v>0</v>
      </c>
      <c r="B6" s="2">
        <v>4</v>
      </c>
      <c r="C6" s="3">
        <f t="shared" si="6"/>
        <v>0.33333333333333331</v>
      </c>
      <c r="E6">
        <v>64.2</v>
      </c>
      <c r="F6">
        <v>2.2999999999999998</v>
      </c>
      <c r="G6">
        <f t="shared" si="0"/>
        <v>68.8</v>
      </c>
      <c r="H6">
        <f t="shared" si="1"/>
        <v>66.5</v>
      </c>
      <c r="I6">
        <f t="shared" si="2"/>
        <v>61.900000000000006</v>
      </c>
      <c r="J6">
        <f t="shared" si="3"/>
        <v>59.6</v>
      </c>
      <c r="K6">
        <f t="shared" si="4"/>
        <v>58.45</v>
      </c>
      <c r="L6">
        <f t="shared" si="5"/>
        <v>57.300000000000004</v>
      </c>
      <c r="N6">
        <v>7.1</v>
      </c>
      <c r="O6">
        <v>0.86</v>
      </c>
      <c r="P6">
        <f t="shared" si="7"/>
        <v>8.82</v>
      </c>
      <c r="Q6">
        <f t="shared" si="8"/>
        <v>7.96</v>
      </c>
      <c r="R6">
        <f t="shared" si="9"/>
        <v>6.2399999999999993</v>
      </c>
      <c r="S6">
        <f t="shared" si="10"/>
        <v>5.38</v>
      </c>
      <c r="U6">
        <v>1</v>
      </c>
      <c r="V6" s="2">
        <v>13.9</v>
      </c>
      <c r="W6">
        <v>1.55</v>
      </c>
      <c r="X6">
        <f>$V6+2*$W6</f>
        <v>17</v>
      </c>
      <c r="Y6">
        <f>$V6+$W6</f>
        <v>15.450000000000001</v>
      </c>
      <c r="Z6">
        <f>$V6-$W6</f>
        <v>12.35</v>
      </c>
      <c r="AA6">
        <f>$V6-2*$W6</f>
        <v>10.8</v>
      </c>
      <c r="AC6">
        <v>14.5</v>
      </c>
      <c r="AD6">
        <v>17.100000000000001</v>
      </c>
      <c r="AE6">
        <v>20.2</v>
      </c>
    </row>
    <row r="7" spans="1:31" x14ac:dyDescent="0.15">
      <c r="A7">
        <v>0</v>
      </c>
      <c r="B7" s="2">
        <v>5</v>
      </c>
      <c r="C7" s="3">
        <f t="shared" si="6"/>
        <v>0.41666666666666669</v>
      </c>
      <c r="E7">
        <v>66.2</v>
      </c>
      <c r="F7">
        <v>2.2999999999999998</v>
      </c>
      <c r="G7">
        <f t="shared" si="0"/>
        <v>70.8</v>
      </c>
      <c r="H7">
        <f t="shared" si="1"/>
        <v>68.5</v>
      </c>
      <c r="I7">
        <f t="shared" si="2"/>
        <v>63.900000000000006</v>
      </c>
      <c r="J7">
        <f t="shared" si="3"/>
        <v>61.6</v>
      </c>
      <c r="K7">
        <f t="shared" si="4"/>
        <v>60.45</v>
      </c>
      <c r="L7">
        <f t="shared" si="5"/>
        <v>59.300000000000004</v>
      </c>
      <c r="N7">
        <v>7.7</v>
      </c>
      <c r="O7">
        <v>0.83</v>
      </c>
      <c r="P7">
        <f t="shared" si="7"/>
        <v>9.36</v>
      </c>
      <c r="Q7">
        <f t="shared" si="8"/>
        <v>8.5299999999999994</v>
      </c>
      <c r="R7">
        <f t="shared" si="9"/>
        <v>6.87</v>
      </c>
      <c r="S7">
        <f t="shared" si="10"/>
        <v>6.04</v>
      </c>
      <c r="U7">
        <v>1.25</v>
      </c>
      <c r="V7" s="2">
        <v>11.7</v>
      </c>
      <c r="W7">
        <v>1.18</v>
      </c>
      <c r="X7">
        <f t="shared" ref="X7:X70" si="11">$V7+2*$W7</f>
        <v>14.059999999999999</v>
      </c>
      <c r="Y7">
        <f t="shared" ref="Y7:Y70" si="12">$V7+$W7</f>
        <v>12.879999999999999</v>
      </c>
      <c r="Z7">
        <f t="shared" ref="Z7:Z70" si="13">$V7-$W7</f>
        <v>10.52</v>
      </c>
      <c r="AA7">
        <f t="shared" ref="AA7:AA69" si="14">$V7-2*$W7</f>
        <v>9.34</v>
      </c>
      <c r="AC7">
        <v>14.7</v>
      </c>
      <c r="AD7">
        <v>17.399999999999999</v>
      </c>
      <c r="AE7">
        <v>20.3</v>
      </c>
    </row>
    <row r="8" spans="1:31" x14ac:dyDescent="0.15">
      <c r="A8">
        <v>0</v>
      </c>
      <c r="B8" s="2">
        <v>6</v>
      </c>
      <c r="C8" s="3">
        <f t="shared" si="6"/>
        <v>0.5</v>
      </c>
      <c r="E8">
        <v>67.8</v>
      </c>
      <c r="F8">
        <v>2.4</v>
      </c>
      <c r="G8">
        <f t="shared" si="0"/>
        <v>72.599999999999994</v>
      </c>
      <c r="H8">
        <f t="shared" si="1"/>
        <v>70.2</v>
      </c>
      <c r="I8">
        <f t="shared" si="2"/>
        <v>65.399999999999991</v>
      </c>
      <c r="J8">
        <f t="shared" si="3"/>
        <v>63</v>
      </c>
      <c r="K8">
        <f t="shared" si="4"/>
        <v>61.8</v>
      </c>
      <c r="L8">
        <f t="shared" si="5"/>
        <v>60.599999999999994</v>
      </c>
      <c r="N8">
        <v>8</v>
      </c>
      <c r="O8">
        <v>0.9</v>
      </c>
      <c r="P8">
        <f t="shared" si="7"/>
        <v>9.8000000000000007</v>
      </c>
      <c r="Q8">
        <f t="shared" si="8"/>
        <v>8.9</v>
      </c>
      <c r="R8">
        <f t="shared" si="9"/>
        <v>7.1</v>
      </c>
      <c r="S8">
        <f t="shared" si="10"/>
        <v>6.2</v>
      </c>
      <c r="U8">
        <v>1.5</v>
      </c>
      <c r="V8" s="2">
        <v>10.3</v>
      </c>
      <c r="W8">
        <v>0.93</v>
      </c>
      <c r="X8">
        <f t="shared" si="11"/>
        <v>12.16</v>
      </c>
      <c r="Y8">
        <f t="shared" si="12"/>
        <v>11.23</v>
      </c>
      <c r="Z8">
        <f t="shared" si="13"/>
        <v>9.370000000000001</v>
      </c>
      <c r="AA8">
        <f t="shared" si="14"/>
        <v>8.4400000000000013</v>
      </c>
      <c r="AC8">
        <v>14.8</v>
      </c>
      <c r="AD8">
        <v>17.399999999999999</v>
      </c>
      <c r="AE8">
        <v>20.3</v>
      </c>
    </row>
    <row r="9" spans="1:31" x14ac:dyDescent="0.15">
      <c r="A9">
        <v>0</v>
      </c>
      <c r="B9" s="2">
        <v>7</v>
      </c>
      <c r="C9" s="3">
        <f t="shared" si="6"/>
        <v>0.58333333333333337</v>
      </c>
      <c r="E9">
        <v>69.2</v>
      </c>
      <c r="F9">
        <v>2.4</v>
      </c>
      <c r="G9">
        <f t="shared" si="0"/>
        <v>74</v>
      </c>
      <c r="H9">
        <f t="shared" si="1"/>
        <v>71.600000000000009</v>
      </c>
      <c r="I9">
        <f t="shared" si="2"/>
        <v>66.8</v>
      </c>
      <c r="J9">
        <f t="shared" si="3"/>
        <v>64.400000000000006</v>
      </c>
      <c r="K9">
        <f t="shared" si="4"/>
        <v>63.2</v>
      </c>
      <c r="L9">
        <f t="shared" si="5"/>
        <v>62</v>
      </c>
      <c r="N9">
        <v>8.1999999999999993</v>
      </c>
      <c r="O9">
        <v>0.92</v>
      </c>
      <c r="P9">
        <f t="shared" si="7"/>
        <v>10.039999999999999</v>
      </c>
      <c r="Q9">
        <f t="shared" si="8"/>
        <v>9.1199999999999992</v>
      </c>
      <c r="R9">
        <f t="shared" si="9"/>
        <v>7.2799999999999994</v>
      </c>
      <c r="S9">
        <f t="shared" si="10"/>
        <v>6.3599999999999994</v>
      </c>
      <c r="U9">
        <v>1.75</v>
      </c>
      <c r="V9" s="2">
        <v>9.5</v>
      </c>
      <c r="W9">
        <v>0.81</v>
      </c>
      <c r="X9">
        <f t="shared" si="11"/>
        <v>11.120000000000001</v>
      </c>
      <c r="Y9">
        <f t="shared" si="12"/>
        <v>10.31</v>
      </c>
      <c r="Z9">
        <f t="shared" si="13"/>
        <v>8.69</v>
      </c>
      <c r="AA9">
        <f t="shared" si="14"/>
        <v>7.88</v>
      </c>
      <c r="AC9">
        <v>14.7</v>
      </c>
      <c r="AD9">
        <v>17.3</v>
      </c>
      <c r="AE9">
        <v>20.2</v>
      </c>
    </row>
    <row r="10" spans="1:31" x14ac:dyDescent="0.15">
      <c r="A10">
        <v>0</v>
      </c>
      <c r="B10" s="2">
        <v>8</v>
      </c>
      <c r="C10" s="3">
        <f t="shared" si="6"/>
        <v>0.66666666666666663</v>
      </c>
      <c r="E10">
        <v>70.5</v>
      </c>
      <c r="F10">
        <v>2.4</v>
      </c>
      <c r="G10">
        <f t="shared" si="0"/>
        <v>75.3</v>
      </c>
      <c r="H10">
        <f t="shared" si="1"/>
        <v>72.900000000000006</v>
      </c>
      <c r="I10">
        <f t="shared" si="2"/>
        <v>68.099999999999994</v>
      </c>
      <c r="J10">
        <f t="shared" si="3"/>
        <v>65.7</v>
      </c>
      <c r="K10">
        <f t="shared" si="4"/>
        <v>64.5</v>
      </c>
      <c r="L10">
        <f t="shared" si="5"/>
        <v>63.3</v>
      </c>
      <c r="N10">
        <v>8.6</v>
      </c>
      <c r="O10">
        <v>1</v>
      </c>
      <c r="P10">
        <f t="shared" si="7"/>
        <v>10.6</v>
      </c>
      <c r="Q10">
        <f t="shared" si="8"/>
        <v>9.6</v>
      </c>
      <c r="R10">
        <f t="shared" si="9"/>
        <v>7.6</v>
      </c>
      <c r="S10">
        <f t="shared" si="10"/>
        <v>6.6</v>
      </c>
      <c r="U10">
        <v>2</v>
      </c>
      <c r="V10" s="2">
        <v>8.8000000000000007</v>
      </c>
      <c r="W10">
        <v>0.77</v>
      </c>
      <c r="X10">
        <f t="shared" si="11"/>
        <v>10.34</v>
      </c>
      <c r="Y10">
        <f t="shared" si="12"/>
        <v>9.57</v>
      </c>
      <c r="Z10">
        <f t="shared" si="13"/>
        <v>8.0300000000000011</v>
      </c>
      <c r="AA10">
        <f t="shared" si="14"/>
        <v>7.2600000000000007</v>
      </c>
      <c r="AC10">
        <v>14.6</v>
      </c>
      <c r="AD10">
        <v>17.2</v>
      </c>
      <c r="AE10">
        <v>20</v>
      </c>
    </row>
    <row r="11" spans="1:31" x14ac:dyDescent="0.15">
      <c r="A11">
        <v>0</v>
      </c>
      <c r="B11" s="2">
        <v>9</v>
      </c>
      <c r="C11" s="3">
        <f t="shared" si="6"/>
        <v>0.75</v>
      </c>
      <c r="E11">
        <v>71.7</v>
      </c>
      <c r="F11">
        <v>2.5</v>
      </c>
      <c r="G11">
        <f t="shared" si="0"/>
        <v>76.7</v>
      </c>
      <c r="H11">
        <f t="shared" si="1"/>
        <v>74.2</v>
      </c>
      <c r="I11">
        <f t="shared" si="2"/>
        <v>69.2</v>
      </c>
      <c r="J11">
        <f t="shared" si="3"/>
        <v>66.7</v>
      </c>
      <c r="K11">
        <f t="shared" si="4"/>
        <v>65.45</v>
      </c>
      <c r="L11">
        <f t="shared" si="5"/>
        <v>64.2</v>
      </c>
      <c r="N11">
        <v>8.9</v>
      </c>
      <c r="O11">
        <v>1.02</v>
      </c>
      <c r="P11">
        <f t="shared" si="7"/>
        <v>10.940000000000001</v>
      </c>
      <c r="Q11">
        <f t="shared" si="8"/>
        <v>9.92</v>
      </c>
      <c r="R11">
        <f t="shared" si="9"/>
        <v>7.8800000000000008</v>
      </c>
      <c r="S11">
        <f t="shared" si="10"/>
        <v>6.86</v>
      </c>
      <c r="U11">
        <v>2.25</v>
      </c>
      <c r="V11" s="2">
        <v>8.3000000000000007</v>
      </c>
      <c r="W11">
        <v>0.7</v>
      </c>
      <c r="X11">
        <f t="shared" si="11"/>
        <v>9.7000000000000011</v>
      </c>
      <c r="Y11">
        <f t="shared" si="12"/>
        <v>9</v>
      </c>
      <c r="Z11">
        <f t="shared" si="13"/>
        <v>7.6000000000000005</v>
      </c>
      <c r="AA11">
        <f t="shared" si="14"/>
        <v>6.9</v>
      </c>
      <c r="AC11">
        <v>14.5</v>
      </c>
      <c r="AD11">
        <v>17</v>
      </c>
      <c r="AE11">
        <v>19.8</v>
      </c>
    </row>
    <row r="12" spans="1:31" x14ac:dyDescent="0.15">
      <c r="A12">
        <v>0</v>
      </c>
      <c r="B12" s="2">
        <v>10</v>
      </c>
      <c r="C12" s="3">
        <f t="shared" si="6"/>
        <v>0.83333333333333337</v>
      </c>
      <c r="E12">
        <v>72.8</v>
      </c>
      <c r="F12">
        <v>2.5</v>
      </c>
      <c r="G12">
        <f t="shared" si="0"/>
        <v>77.8</v>
      </c>
      <c r="H12">
        <f t="shared" si="1"/>
        <v>75.3</v>
      </c>
      <c r="I12">
        <f t="shared" si="2"/>
        <v>70.3</v>
      </c>
      <c r="J12">
        <f t="shared" si="3"/>
        <v>67.8</v>
      </c>
      <c r="K12">
        <f t="shared" si="4"/>
        <v>66.55</v>
      </c>
      <c r="L12">
        <f t="shared" si="5"/>
        <v>65.3</v>
      </c>
      <c r="N12">
        <v>9.1</v>
      </c>
      <c r="O12">
        <v>0.92</v>
      </c>
      <c r="P12">
        <f t="shared" si="7"/>
        <v>10.94</v>
      </c>
      <c r="Q12">
        <f t="shared" si="8"/>
        <v>10.02</v>
      </c>
      <c r="R12">
        <f t="shared" si="9"/>
        <v>8.18</v>
      </c>
      <c r="S12">
        <f t="shared" si="10"/>
        <v>7.26</v>
      </c>
      <c r="U12">
        <v>2.5</v>
      </c>
      <c r="V12" s="2">
        <v>8</v>
      </c>
      <c r="W12">
        <v>0.7</v>
      </c>
      <c r="X12">
        <f t="shared" si="11"/>
        <v>9.4</v>
      </c>
      <c r="Y12">
        <f t="shared" si="12"/>
        <v>8.6999999999999993</v>
      </c>
      <c r="Z12">
        <f t="shared" si="13"/>
        <v>7.3</v>
      </c>
      <c r="AA12">
        <f t="shared" si="14"/>
        <v>6.6</v>
      </c>
      <c r="AC12">
        <v>14.4</v>
      </c>
      <c r="AD12">
        <v>16.899999999999999</v>
      </c>
      <c r="AE12">
        <v>19.7</v>
      </c>
    </row>
    <row r="13" spans="1:31" x14ac:dyDescent="0.15">
      <c r="A13">
        <v>0</v>
      </c>
      <c r="B13" s="2">
        <v>11</v>
      </c>
      <c r="C13" s="3">
        <f t="shared" si="6"/>
        <v>0.91666666666666663</v>
      </c>
      <c r="E13">
        <v>73.900000000000006</v>
      </c>
      <c r="F13">
        <v>2.5</v>
      </c>
      <c r="G13">
        <f t="shared" si="0"/>
        <v>78.900000000000006</v>
      </c>
      <c r="H13">
        <f t="shared" si="1"/>
        <v>76.400000000000006</v>
      </c>
      <c r="I13">
        <f t="shared" si="2"/>
        <v>71.400000000000006</v>
      </c>
      <c r="J13">
        <f t="shared" si="3"/>
        <v>68.900000000000006</v>
      </c>
      <c r="K13">
        <f t="shared" si="4"/>
        <v>67.650000000000006</v>
      </c>
      <c r="L13">
        <f t="shared" si="5"/>
        <v>66.400000000000006</v>
      </c>
      <c r="N13">
        <v>9.1999999999999993</v>
      </c>
      <c r="O13">
        <v>0.88</v>
      </c>
      <c r="P13">
        <f t="shared" si="7"/>
        <v>10.959999999999999</v>
      </c>
      <c r="Q13">
        <f t="shared" si="8"/>
        <v>10.08</v>
      </c>
      <c r="R13">
        <f t="shared" si="9"/>
        <v>8.3199999999999985</v>
      </c>
      <c r="S13">
        <f t="shared" si="10"/>
        <v>7.4399999999999995</v>
      </c>
      <c r="U13">
        <v>2.75</v>
      </c>
      <c r="V13" s="2">
        <v>7.7</v>
      </c>
      <c r="W13">
        <v>0.71</v>
      </c>
      <c r="X13">
        <f t="shared" si="11"/>
        <v>9.120000000000001</v>
      </c>
      <c r="Y13">
        <f t="shared" si="12"/>
        <v>8.41</v>
      </c>
      <c r="Z13">
        <f t="shared" si="13"/>
        <v>6.99</v>
      </c>
      <c r="AA13">
        <f t="shared" si="14"/>
        <v>6.28</v>
      </c>
      <c r="AC13">
        <v>14.4</v>
      </c>
      <c r="AD13">
        <v>16.8</v>
      </c>
      <c r="AE13">
        <v>19.5</v>
      </c>
    </row>
    <row r="14" spans="1:31" x14ac:dyDescent="0.15">
      <c r="A14">
        <v>1</v>
      </c>
      <c r="B14" s="2">
        <v>0</v>
      </c>
      <c r="C14" s="3">
        <f t="shared" si="6"/>
        <v>1</v>
      </c>
      <c r="E14">
        <v>75</v>
      </c>
      <c r="F14">
        <v>2.6</v>
      </c>
      <c r="G14">
        <f t="shared" si="0"/>
        <v>80.2</v>
      </c>
      <c r="H14">
        <f t="shared" si="1"/>
        <v>77.599999999999994</v>
      </c>
      <c r="I14">
        <f t="shared" si="2"/>
        <v>72.400000000000006</v>
      </c>
      <c r="J14">
        <f t="shared" si="3"/>
        <v>69.8</v>
      </c>
      <c r="K14">
        <f t="shared" si="4"/>
        <v>68.5</v>
      </c>
      <c r="L14">
        <f t="shared" si="5"/>
        <v>67.2</v>
      </c>
      <c r="N14">
        <v>9.3000000000000007</v>
      </c>
      <c r="O14">
        <v>0.92</v>
      </c>
      <c r="P14">
        <f t="shared" si="7"/>
        <v>11.14</v>
      </c>
      <c r="Q14">
        <f t="shared" si="8"/>
        <v>10.220000000000001</v>
      </c>
      <c r="R14">
        <f t="shared" si="9"/>
        <v>8.3800000000000008</v>
      </c>
      <c r="S14">
        <f t="shared" si="10"/>
        <v>7.4600000000000009</v>
      </c>
      <c r="U14">
        <v>3</v>
      </c>
      <c r="V14" s="2">
        <v>7.5</v>
      </c>
      <c r="W14">
        <v>0.71</v>
      </c>
      <c r="X14">
        <f t="shared" si="11"/>
        <v>8.92</v>
      </c>
      <c r="Y14">
        <f t="shared" si="12"/>
        <v>8.2100000000000009</v>
      </c>
      <c r="Z14">
        <f t="shared" si="13"/>
        <v>6.79</v>
      </c>
      <c r="AA14">
        <f t="shared" si="14"/>
        <v>6.08</v>
      </c>
      <c r="AC14">
        <v>14.3</v>
      </c>
      <c r="AD14">
        <v>16.7</v>
      </c>
      <c r="AE14">
        <v>19.3</v>
      </c>
    </row>
    <row r="15" spans="1:31" x14ac:dyDescent="0.15">
      <c r="A15">
        <v>1</v>
      </c>
      <c r="B15" s="2">
        <v>1</v>
      </c>
      <c r="C15" s="3">
        <f t="shared" si="6"/>
        <v>1.0833333333333333</v>
      </c>
      <c r="E15">
        <v>76</v>
      </c>
      <c r="F15">
        <v>2.6</v>
      </c>
      <c r="G15">
        <f t="shared" si="0"/>
        <v>81.2</v>
      </c>
      <c r="H15">
        <f t="shared" si="1"/>
        <v>78.599999999999994</v>
      </c>
      <c r="I15">
        <f t="shared" si="2"/>
        <v>73.400000000000006</v>
      </c>
      <c r="J15">
        <f t="shared" si="3"/>
        <v>70.8</v>
      </c>
      <c r="K15">
        <f t="shared" si="4"/>
        <v>69.5</v>
      </c>
      <c r="L15">
        <f t="shared" si="5"/>
        <v>68.2</v>
      </c>
      <c r="N15">
        <v>9.5</v>
      </c>
      <c r="O15">
        <v>0.95</v>
      </c>
      <c r="P15">
        <f t="shared" si="7"/>
        <v>11.4</v>
      </c>
      <c r="Q15">
        <f t="shared" si="8"/>
        <v>10.45</v>
      </c>
      <c r="R15">
        <f t="shared" si="9"/>
        <v>8.5500000000000007</v>
      </c>
      <c r="S15">
        <f t="shared" si="10"/>
        <v>7.6</v>
      </c>
      <c r="U15">
        <v>3.25</v>
      </c>
      <c r="V15" s="2">
        <v>7.3</v>
      </c>
      <c r="W15">
        <v>0.73</v>
      </c>
      <c r="X15">
        <f t="shared" si="11"/>
        <v>8.76</v>
      </c>
      <c r="Y15">
        <f t="shared" si="12"/>
        <v>8.0299999999999994</v>
      </c>
      <c r="Z15">
        <f t="shared" si="13"/>
        <v>6.57</v>
      </c>
      <c r="AA15">
        <f t="shared" si="14"/>
        <v>5.84</v>
      </c>
      <c r="AC15">
        <v>14.2</v>
      </c>
      <c r="AD15">
        <v>16.5</v>
      </c>
      <c r="AE15">
        <v>19.2</v>
      </c>
    </row>
    <row r="16" spans="1:31" x14ac:dyDescent="0.15">
      <c r="A16">
        <v>1</v>
      </c>
      <c r="B16" s="2">
        <v>2</v>
      </c>
      <c r="C16" s="3">
        <f t="shared" si="6"/>
        <v>1.1666666666666667</v>
      </c>
      <c r="E16">
        <v>76.900000000000006</v>
      </c>
      <c r="F16">
        <v>2.6</v>
      </c>
      <c r="G16">
        <f t="shared" si="0"/>
        <v>82.100000000000009</v>
      </c>
      <c r="H16">
        <f t="shared" si="1"/>
        <v>79.5</v>
      </c>
      <c r="I16">
        <f t="shared" si="2"/>
        <v>74.300000000000011</v>
      </c>
      <c r="J16">
        <f t="shared" si="3"/>
        <v>71.7</v>
      </c>
      <c r="K16">
        <f t="shared" si="4"/>
        <v>70.400000000000006</v>
      </c>
      <c r="L16">
        <f t="shared" si="5"/>
        <v>69.100000000000009</v>
      </c>
      <c r="N16">
        <v>9.8000000000000007</v>
      </c>
      <c r="O16">
        <v>0.96</v>
      </c>
      <c r="P16">
        <f t="shared" si="7"/>
        <v>11.72</v>
      </c>
      <c r="Q16">
        <f t="shared" si="8"/>
        <v>10.760000000000002</v>
      </c>
      <c r="R16">
        <f t="shared" si="9"/>
        <v>8.84</v>
      </c>
      <c r="S16">
        <f t="shared" si="10"/>
        <v>7.8800000000000008</v>
      </c>
      <c r="U16">
        <v>3.5</v>
      </c>
      <c r="V16" s="2">
        <v>7.1</v>
      </c>
      <c r="W16">
        <v>0.74</v>
      </c>
      <c r="X16">
        <f t="shared" si="11"/>
        <v>8.58</v>
      </c>
      <c r="Y16">
        <f t="shared" si="12"/>
        <v>7.84</v>
      </c>
      <c r="Z16">
        <f t="shared" si="13"/>
        <v>6.3599999999999994</v>
      </c>
      <c r="AA16">
        <f t="shared" si="14"/>
        <v>5.6199999999999992</v>
      </c>
      <c r="AC16">
        <v>14.2</v>
      </c>
      <c r="AD16">
        <v>16.399999999999999</v>
      </c>
      <c r="AE16">
        <v>19.100000000000001</v>
      </c>
    </row>
    <row r="17" spans="1:31" x14ac:dyDescent="0.15">
      <c r="A17">
        <v>1</v>
      </c>
      <c r="B17" s="2">
        <v>3</v>
      </c>
      <c r="C17" s="3">
        <f t="shared" si="6"/>
        <v>1.25</v>
      </c>
      <c r="E17">
        <v>77.8</v>
      </c>
      <c r="F17">
        <v>2.7</v>
      </c>
      <c r="G17">
        <f t="shared" si="0"/>
        <v>83.2</v>
      </c>
      <c r="H17">
        <f t="shared" si="1"/>
        <v>80.5</v>
      </c>
      <c r="I17">
        <f t="shared" si="2"/>
        <v>75.099999999999994</v>
      </c>
      <c r="J17">
        <f t="shared" si="3"/>
        <v>72.399999999999991</v>
      </c>
      <c r="K17">
        <f t="shared" si="4"/>
        <v>71.05</v>
      </c>
      <c r="L17">
        <f t="shared" si="5"/>
        <v>69.699999999999989</v>
      </c>
      <c r="N17">
        <v>9.9</v>
      </c>
      <c r="O17">
        <v>0.96</v>
      </c>
      <c r="P17">
        <f t="shared" si="7"/>
        <v>11.82</v>
      </c>
      <c r="Q17">
        <f t="shared" si="8"/>
        <v>10.86</v>
      </c>
      <c r="R17">
        <f t="shared" si="9"/>
        <v>8.9400000000000013</v>
      </c>
      <c r="S17">
        <f t="shared" si="10"/>
        <v>7.98</v>
      </c>
      <c r="U17">
        <v>3.75</v>
      </c>
      <c r="V17" s="2">
        <v>7</v>
      </c>
      <c r="W17">
        <v>0.75</v>
      </c>
      <c r="X17">
        <f t="shared" si="11"/>
        <v>8.5</v>
      </c>
      <c r="Y17">
        <f t="shared" si="12"/>
        <v>7.75</v>
      </c>
      <c r="Z17">
        <f t="shared" si="13"/>
        <v>6.25</v>
      </c>
      <c r="AA17">
        <f t="shared" si="14"/>
        <v>5.5</v>
      </c>
      <c r="AC17">
        <v>14.1</v>
      </c>
      <c r="AD17">
        <v>16.399999999999999</v>
      </c>
      <c r="AE17">
        <v>19</v>
      </c>
    </row>
    <row r="18" spans="1:31" x14ac:dyDescent="0.15">
      <c r="A18">
        <v>1</v>
      </c>
      <c r="B18" s="2">
        <v>4</v>
      </c>
      <c r="C18" s="3">
        <f t="shared" si="6"/>
        <v>1.3333333333333333</v>
      </c>
      <c r="E18">
        <v>78.7</v>
      </c>
      <c r="F18">
        <v>2.7</v>
      </c>
      <c r="G18">
        <f t="shared" si="0"/>
        <v>84.100000000000009</v>
      </c>
      <c r="H18">
        <f t="shared" si="1"/>
        <v>81.400000000000006</v>
      </c>
      <c r="I18">
        <f t="shared" si="2"/>
        <v>76</v>
      </c>
      <c r="J18">
        <f t="shared" si="3"/>
        <v>73.3</v>
      </c>
      <c r="K18">
        <f t="shared" si="4"/>
        <v>71.95</v>
      </c>
      <c r="L18">
        <f t="shared" si="5"/>
        <v>70.599999999999994</v>
      </c>
      <c r="N18">
        <v>10.1</v>
      </c>
      <c r="O18">
        <v>0.97</v>
      </c>
      <c r="P18">
        <f t="shared" si="7"/>
        <v>12.04</v>
      </c>
      <c r="Q18">
        <f t="shared" si="8"/>
        <v>11.07</v>
      </c>
      <c r="R18">
        <f t="shared" si="9"/>
        <v>9.129999999999999</v>
      </c>
      <c r="S18">
        <f t="shared" si="10"/>
        <v>8.16</v>
      </c>
      <c r="U18">
        <v>4</v>
      </c>
      <c r="V18" s="2">
        <v>6.9</v>
      </c>
      <c r="W18">
        <v>0.75</v>
      </c>
      <c r="X18">
        <f t="shared" si="11"/>
        <v>8.4</v>
      </c>
      <c r="Y18">
        <f t="shared" si="12"/>
        <v>7.65</v>
      </c>
      <c r="Z18">
        <f t="shared" si="13"/>
        <v>6.15</v>
      </c>
      <c r="AA18">
        <f t="shared" si="14"/>
        <v>5.4</v>
      </c>
      <c r="AC18">
        <v>14</v>
      </c>
      <c r="AD18">
        <v>16.3</v>
      </c>
      <c r="AE18">
        <v>18.899999999999999</v>
      </c>
    </row>
    <row r="19" spans="1:31" x14ac:dyDescent="0.15">
      <c r="A19">
        <v>1</v>
      </c>
      <c r="B19" s="2">
        <v>5</v>
      </c>
      <c r="C19" s="3">
        <f t="shared" si="6"/>
        <v>1.4166666666666667</v>
      </c>
      <c r="E19">
        <v>79.599999999999994</v>
      </c>
      <c r="F19">
        <v>2.8</v>
      </c>
      <c r="G19">
        <f t="shared" si="0"/>
        <v>85.199999999999989</v>
      </c>
      <c r="H19">
        <f t="shared" si="1"/>
        <v>82.399999999999991</v>
      </c>
      <c r="I19">
        <f t="shared" si="2"/>
        <v>76.8</v>
      </c>
      <c r="J19">
        <f t="shared" si="3"/>
        <v>74</v>
      </c>
      <c r="K19">
        <f t="shared" si="4"/>
        <v>72.599999999999994</v>
      </c>
      <c r="L19">
        <f t="shared" si="5"/>
        <v>71.199999999999989</v>
      </c>
      <c r="N19">
        <v>10.3</v>
      </c>
      <c r="O19">
        <v>1.1100000000000001</v>
      </c>
      <c r="P19">
        <f t="shared" si="7"/>
        <v>12.520000000000001</v>
      </c>
      <c r="Q19">
        <f t="shared" si="8"/>
        <v>11.41</v>
      </c>
      <c r="R19">
        <f t="shared" si="9"/>
        <v>9.1900000000000013</v>
      </c>
      <c r="S19">
        <f t="shared" si="10"/>
        <v>8.08</v>
      </c>
      <c r="U19">
        <v>4.25</v>
      </c>
      <c r="V19" s="2">
        <v>6.7</v>
      </c>
      <c r="W19">
        <v>0.77</v>
      </c>
      <c r="X19">
        <f t="shared" si="11"/>
        <v>8.24</v>
      </c>
      <c r="Y19">
        <f t="shared" si="12"/>
        <v>7.4700000000000006</v>
      </c>
      <c r="Z19">
        <f t="shared" si="13"/>
        <v>5.93</v>
      </c>
      <c r="AA19">
        <f t="shared" si="14"/>
        <v>5.16</v>
      </c>
      <c r="AC19">
        <v>14</v>
      </c>
      <c r="AD19">
        <v>16.2</v>
      </c>
      <c r="AE19">
        <v>18.8</v>
      </c>
    </row>
    <row r="20" spans="1:31" x14ac:dyDescent="0.15">
      <c r="A20">
        <v>1</v>
      </c>
      <c r="B20" s="2">
        <v>6</v>
      </c>
      <c r="C20" s="3">
        <f t="shared" si="6"/>
        <v>1.5</v>
      </c>
      <c r="E20">
        <v>80.5</v>
      </c>
      <c r="F20">
        <v>2.8</v>
      </c>
      <c r="G20">
        <f t="shared" si="0"/>
        <v>86.1</v>
      </c>
      <c r="H20">
        <f t="shared" si="1"/>
        <v>83.3</v>
      </c>
      <c r="I20">
        <f t="shared" si="2"/>
        <v>77.7</v>
      </c>
      <c r="J20">
        <f t="shared" si="3"/>
        <v>74.900000000000006</v>
      </c>
      <c r="K20">
        <f t="shared" si="4"/>
        <v>73.5</v>
      </c>
      <c r="L20">
        <f t="shared" si="5"/>
        <v>72.099999999999994</v>
      </c>
      <c r="N20">
        <v>10.5</v>
      </c>
      <c r="O20">
        <v>1.1499999999999999</v>
      </c>
      <c r="P20">
        <f t="shared" si="7"/>
        <v>12.8</v>
      </c>
      <c r="Q20">
        <f t="shared" si="8"/>
        <v>11.65</v>
      </c>
      <c r="R20">
        <f t="shared" si="9"/>
        <v>9.35</v>
      </c>
      <c r="S20">
        <f t="shared" si="10"/>
        <v>8.1999999999999993</v>
      </c>
      <c r="U20">
        <v>4.5</v>
      </c>
      <c r="V20" s="2">
        <v>6.6</v>
      </c>
      <c r="W20">
        <v>0.78</v>
      </c>
      <c r="X20">
        <f t="shared" si="11"/>
        <v>8.16</v>
      </c>
      <c r="Y20">
        <f t="shared" si="12"/>
        <v>7.38</v>
      </c>
      <c r="Z20">
        <f t="shared" si="13"/>
        <v>5.8199999999999994</v>
      </c>
      <c r="AA20">
        <f t="shared" si="14"/>
        <v>5.0399999999999991</v>
      </c>
      <c r="AC20">
        <v>13.9</v>
      </c>
      <c r="AD20">
        <v>16.100000000000001</v>
      </c>
      <c r="AE20">
        <v>18.7</v>
      </c>
    </row>
    <row r="21" spans="1:31" x14ac:dyDescent="0.15">
      <c r="A21">
        <v>1</v>
      </c>
      <c r="B21" s="2">
        <v>7</v>
      </c>
      <c r="C21" s="3">
        <f t="shared" si="6"/>
        <v>1.5833333333333335</v>
      </c>
      <c r="E21">
        <v>81.400000000000006</v>
      </c>
      <c r="F21">
        <v>2.8</v>
      </c>
      <c r="G21">
        <f t="shared" si="0"/>
        <v>87</v>
      </c>
      <c r="H21">
        <f t="shared" si="1"/>
        <v>84.2</v>
      </c>
      <c r="I21">
        <f t="shared" si="2"/>
        <v>78.600000000000009</v>
      </c>
      <c r="J21">
        <f t="shared" si="3"/>
        <v>75.800000000000011</v>
      </c>
      <c r="K21">
        <f t="shared" si="4"/>
        <v>74.400000000000006</v>
      </c>
      <c r="L21">
        <f t="shared" si="5"/>
        <v>73</v>
      </c>
      <c r="N21">
        <v>10.6</v>
      </c>
      <c r="O21">
        <v>1.05</v>
      </c>
      <c r="P21">
        <f t="shared" si="7"/>
        <v>12.7</v>
      </c>
      <c r="Q21">
        <f t="shared" si="8"/>
        <v>11.65</v>
      </c>
      <c r="R21">
        <f t="shared" si="9"/>
        <v>9.5499999999999989</v>
      </c>
      <c r="S21">
        <f t="shared" si="10"/>
        <v>8.5</v>
      </c>
      <c r="U21">
        <v>4.75</v>
      </c>
      <c r="V21" s="2">
        <v>6.5</v>
      </c>
      <c r="W21">
        <v>0.78</v>
      </c>
      <c r="X21">
        <f t="shared" si="11"/>
        <v>8.06</v>
      </c>
      <c r="Y21">
        <f t="shared" si="12"/>
        <v>7.28</v>
      </c>
      <c r="Z21">
        <f t="shared" si="13"/>
        <v>5.72</v>
      </c>
      <c r="AA21">
        <f t="shared" si="14"/>
        <v>4.9399999999999995</v>
      </c>
      <c r="AC21">
        <v>13.9</v>
      </c>
      <c r="AD21">
        <v>16.100000000000001</v>
      </c>
      <c r="AE21">
        <v>18.600000000000001</v>
      </c>
    </row>
    <row r="22" spans="1:31" x14ac:dyDescent="0.15">
      <c r="A22">
        <v>1</v>
      </c>
      <c r="B22" s="2">
        <v>8</v>
      </c>
      <c r="C22" s="3">
        <f t="shared" si="6"/>
        <v>1.6666666666666665</v>
      </c>
      <c r="E22">
        <v>82.3</v>
      </c>
      <c r="F22">
        <v>2.9</v>
      </c>
      <c r="G22">
        <f t="shared" si="0"/>
        <v>88.1</v>
      </c>
      <c r="H22">
        <f t="shared" si="1"/>
        <v>85.2</v>
      </c>
      <c r="I22">
        <f t="shared" si="2"/>
        <v>79.399999999999991</v>
      </c>
      <c r="J22">
        <f t="shared" si="3"/>
        <v>76.5</v>
      </c>
      <c r="K22">
        <f t="shared" si="4"/>
        <v>75.05</v>
      </c>
      <c r="L22">
        <f t="shared" si="5"/>
        <v>73.599999999999994</v>
      </c>
      <c r="N22">
        <v>10.9</v>
      </c>
      <c r="O22">
        <v>1.08</v>
      </c>
      <c r="P22">
        <f t="shared" si="7"/>
        <v>13.06</v>
      </c>
      <c r="Q22">
        <f t="shared" si="8"/>
        <v>11.98</v>
      </c>
      <c r="R22">
        <f t="shared" si="9"/>
        <v>9.82</v>
      </c>
      <c r="S22">
        <f t="shared" si="10"/>
        <v>8.74</v>
      </c>
      <c r="U22">
        <v>5</v>
      </c>
      <c r="V22" s="2">
        <v>6.3</v>
      </c>
      <c r="W22">
        <v>0.79</v>
      </c>
      <c r="X22">
        <f t="shared" si="11"/>
        <v>7.88</v>
      </c>
      <c r="Y22">
        <f t="shared" si="12"/>
        <v>7.09</v>
      </c>
      <c r="Z22">
        <f t="shared" si="13"/>
        <v>5.51</v>
      </c>
      <c r="AA22">
        <f t="shared" si="14"/>
        <v>4.72</v>
      </c>
      <c r="AC22">
        <v>13.9</v>
      </c>
      <c r="AD22">
        <v>16</v>
      </c>
      <c r="AE22">
        <v>18.5</v>
      </c>
    </row>
    <row r="23" spans="1:31" x14ac:dyDescent="0.15">
      <c r="A23">
        <v>1</v>
      </c>
      <c r="B23" s="2">
        <v>9</v>
      </c>
      <c r="C23" s="3">
        <f t="shared" si="6"/>
        <v>1.75</v>
      </c>
      <c r="E23">
        <v>83.1</v>
      </c>
      <c r="F23">
        <v>2.9</v>
      </c>
      <c r="G23">
        <f t="shared" si="0"/>
        <v>88.899999999999991</v>
      </c>
      <c r="H23">
        <f t="shared" si="1"/>
        <v>86</v>
      </c>
      <c r="I23">
        <f t="shared" si="2"/>
        <v>80.199999999999989</v>
      </c>
      <c r="J23">
        <f t="shared" si="3"/>
        <v>77.3</v>
      </c>
      <c r="K23">
        <f t="shared" si="4"/>
        <v>75.849999999999994</v>
      </c>
      <c r="L23">
        <f t="shared" si="5"/>
        <v>74.399999999999991</v>
      </c>
      <c r="N23">
        <v>11.2</v>
      </c>
      <c r="O23">
        <v>1.17</v>
      </c>
      <c r="P23">
        <f t="shared" si="7"/>
        <v>13.54</v>
      </c>
      <c r="Q23">
        <f t="shared" si="8"/>
        <v>12.37</v>
      </c>
      <c r="R23">
        <f t="shared" si="9"/>
        <v>10.029999999999999</v>
      </c>
      <c r="S23">
        <f t="shared" si="10"/>
        <v>8.86</v>
      </c>
      <c r="U23">
        <v>5.25</v>
      </c>
      <c r="V23" s="2">
        <v>6.2</v>
      </c>
      <c r="W23">
        <v>0.8</v>
      </c>
      <c r="X23">
        <f t="shared" si="11"/>
        <v>7.8000000000000007</v>
      </c>
      <c r="Y23">
        <f t="shared" si="12"/>
        <v>7</v>
      </c>
      <c r="Z23">
        <f t="shared" si="13"/>
        <v>5.4</v>
      </c>
      <c r="AA23">
        <f t="shared" si="14"/>
        <v>4.5999999999999996</v>
      </c>
      <c r="AC23">
        <v>13.8</v>
      </c>
      <c r="AD23">
        <v>15.9</v>
      </c>
      <c r="AE23">
        <v>18.399999999999999</v>
      </c>
    </row>
    <row r="24" spans="1:31" x14ac:dyDescent="0.15">
      <c r="A24">
        <v>1</v>
      </c>
      <c r="B24" s="2">
        <v>10</v>
      </c>
      <c r="C24" s="3">
        <f t="shared" si="6"/>
        <v>1.8333333333333335</v>
      </c>
      <c r="E24">
        <v>83.9</v>
      </c>
      <c r="F24">
        <v>2.9</v>
      </c>
      <c r="G24">
        <f t="shared" si="0"/>
        <v>89.7</v>
      </c>
      <c r="H24">
        <f t="shared" si="1"/>
        <v>86.800000000000011</v>
      </c>
      <c r="I24">
        <f t="shared" si="2"/>
        <v>81</v>
      </c>
      <c r="J24">
        <f t="shared" si="3"/>
        <v>78.100000000000009</v>
      </c>
      <c r="K24">
        <f t="shared" si="4"/>
        <v>76.650000000000006</v>
      </c>
      <c r="L24">
        <f t="shared" si="5"/>
        <v>75.2</v>
      </c>
      <c r="N24">
        <v>11.3</v>
      </c>
      <c r="O24">
        <v>1.1599999999999999</v>
      </c>
      <c r="P24">
        <f t="shared" si="7"/>
        <v>13.620000000000001</v>
      </c>
      <c r="Q24">
        <f t="shared" si="8"/>
        <v>12.46</v>
      </c>
      <c r="R24">
        <f t="shared" si="9"/>
        <v>10.14</v>
      </c>
      <c r="S24">
        <f t="shared" si="10"/>
        <v>8.98</v>
      </c>
      <c r="U24">
        <v>5.5</v>
      </c>
      <c r="V24" s="2">
        <v>6.1</v>
      </c>
      <c r="W24">
        <v>0.83</v>
      </c>
      <c r="X24">
        <f t="shared" si="11"/>
        <v>7.76</v>
      </c>
      <c r="Y24">
        <f t="shared" si="12"/>
        <v>6.93</v>
      </c>
      <c r="Z24">
        <f t="shared" si="13"/>
        <v>5.27</v>
      </c>
      <c r="AA24">
        <f t="shared" si="14"/>
        <v>4.4399999999999995</v>
      </c>
      <c r="AC24">
        <v>13.8</v>
      </c>
      <c r="AD24">
        <v>15.9</v>
      </c>
      <c r="AE24">
        <v>18.399999999999999</v>
      </c>
    </row>
    <row r="25" spans="1:31" x14ac:dyDescent="0.15">
      <c r="A25">
        <v>1</v>
      </c>
      <c r="B25" s="2">
        <v>11</v>
      </c>
      <c r="C25" s="3">
        <f t="shared" si="6"/>
        <v>1.9166666666666665</v>
      </c>
      <c r="E25">
        <v>84.7</v>
      </c>
      <c r="F25">
        <v>3</v>
      </c>
      <c r="G25">
        <f t="shared" si="0"/>
        <v>90.7</v>
      </c>
      <c r="H25">
        <f t="shared" si="1"/>
        <v>87.7</v>
      </c>
      <c r="I25">
        <f t="shared" si="2"/>
        <v>81.7</v>
      </c>
      <c r="J25">
        <f t="shared" si="3"/>
        <v>78.7</v>
      </c>
      <c r="K25">
        <f t="shared" si="4"/>
        <v>77.2</v>
      </c>
      <c r="L25">
        <f t="shared" si="5"/>
        <v>75.7</v>
      </c>
      <c r="N25">
        <v>11.4</v>
      </c>
      <c r="O25">
        <v>1.1299999999999999</v>
      </c>
      <c r="P25">
        <f t="shared" si="7"/>
        <v>13.66</v>
      </c>
      <c r="Q25">
        <f t="shared" si="8"/>
        <v>12.530000000000001</v>
      </c>
      <c r="R25">
        <f t="shared" si="9"/>
        <v>10.27</v>
      </c>
      <c r="S25">
        <f t="shared" si="10"/>
        <v>9.14</v>
      </c>
      <c r="U25">
        <v>5.75</v>
      </c>
      <c r="V25" s="2">
        <v>6</v>
      </c>
      <c r="W25">
        <v>0.84</v>
      </c>
      <c r="X25">
        <f t="shared" si="11"/>
        <v>7.68</v>
      </c>
      <c r="Y25">
        <f t="shared" si="12"/>
        <v>6.84</v>
      </c>
      <c r="Z25">
        <f t="shared" si="13"/>
        <v>5.16</v>
      </c>
      <c r="AA25">
        <f t="shared" si="14"/>
        <v>4.32</v>
      </c>
      <c r="AC25">
        <v>13.8</v>
      </c>
      <c r="AD25">
        <v>15.8</v>
      </c>
      <c r="AE25">
        <v>18.3</v>
      </c>
    </row>
    <row r="26" spans="1:31" x14ac:dyDescent="0.15">
      <c r="A26">
        <v>2</v>
      </c>
      <c r="B26" s="2">
        <v>0</v>
      </c>
      <c r="C26" s="3">
        <f t="shared" si="6"/>
        <v>2</v>
      </c>
      <c r="E26">
        <v>85.4</v>
      </c>
      <c r="F26">
        <v>3</v>
      </c>
      <c r="G26">
        <f t="shared" si="0"/>
        <v>91.4</v>
      </c>
      <c r="H26">
        <f t="shared" si="1"/>
        <v>88.4</v>
      </c>
      <c r="I26">
        <f t="shared" si="2"/>
        <v>82.4</v>
      </c>
      <c r="J26">
        <f t="shared" si="3"/>
        <v>79.400000000000006</v>
      </c>
      <c r="K26">
        <f t="shared" si="4"/>
        <v>77.900000000000006</v>
      </c>
      <c r="L26">
        <f t="shared" si="5"/>
        <v>76.400000000000006</v>
      </c>
      <c r="N26">
        <v>11.6</v>
      </c>
      <c r="O26">
        <v>1.1599999999999999</v>
      </c>
      <c r="P26">
        <f t="shared" si="7"/>
        <v>13.92</v>
      </c>
      <c r="Q26">
        <f t="shared" si="8"/>
        <v>12.76</v>
      </c>
      <c r="R26">
        <f t="shared" si="9"/>
        <v>10.44</v>
      </c>
      <c r="S26">
        <f t="shared" si="10"/>
        <v>9.2799999999999994</v>
      </c>
      <c r="U26">
        <v>6</v>
      </c>
      <c r="V26" s="2">
        <v>5.9</v>
      </c>
      <c r="W26">
        <v>0.84</v>
      </c>
      <c r="X26">
        <f t="shared" si="11"/>
        <v>7.58</v>
      </c>
      <c r="Y26">
        <f t="shared" si="12"/>
        <v>6.74</v>
      </c>
      <c r="Z26">
        <f t="shared" si="13"/>
        <v>5.0600000000000005</v>
      </c>
      <c r="AA26">
        <f t="shared" si="14"/>
        <v>4.2200000000000006</v>
      </c>
      <c r="AC26">
        <v>13.8</v>
      </c>
      <c r="AD26">
        <v>15.8</v>
      </c>
      <c r="AE26">
        <v>18.3</v>
      </c>
    </row>
    <row r="27" spans="1:31" x14ac:dyDescent="0.15">
      <c r="A27">
        <v>2</v>
      </c>
      <c r="B27" s="2">
        <v>1</v>
      </c>
      <c r="C27" s="3">
        <f t="shared" si="6"/>
        <v>2.0833333333333335</v>
      </c>
      <c r="E27">
        <v>86.2</v>
      </c>
      <c r="F27">
        <v>3.1</v>
      </c>
      <c r="G27">
        <f t="shared" si="0"/>
        <v>92.4</v>
      </c>
      <c r="H27">
        <f t="shared" si="1"/>
        <v>89.3</v>
      </c>
      <c r="I27">
        <f t="shared" si="2"/>
        <v>83.100000000000009</v>
      </c>
      <c r="J27">
        <f t="shared" si="3"/>
        <v>80</v>
      </c>
      <c r="K27">
        <f t="shared" si="4"/>
        <v>78.45</v>
      </c>
      <c r="L27">
        <f t="shared" si="5"/>
        <v>76.900000000000006</v>
      </c>
      <c r="N27">
        <v>11.8</v>
      </c>
      <c r="O27">
        <v>1.19</v>
      </c>
      <c r="P27">
        <f t="shared" si="7"/>
        <v>14.18</v>
      </c>
      <c r="Q27">
        <f t="shared" si="8"/>
        <v>12.99</v>
      </c>
      <c r="R27">
        <f t="shared" si="9"/>
        <v>10.610000000000001</v>
      </c>
      <c r="S27">
        <f t="shared" si="10"/>
        <v>9.4200000000000017</v>
      </c>
      <c r="U27">
        <v>6.25</v>
      </c>
      <c r="V27" s="2">
        <v>5.8</v>
      </c>
      <c r="W27">
        <v>0.84</v>
      </c>
      <c r="X27">
        <f t="shared" si="11"/>
        <v>7.4799999999999995</v>
      </c>
      <c r="Y27">
        <f t="shared" si="12"/>
        <v>6.64</v>
      </c>
      <c r="Z27">
        <f t="shared" si="13"/>
        <v>4.96</v>
      </c>
      <c r="AA27">
        <f t="shared" si="14"/>
        <v>4.12</v>
      </c>
      <c r="AC27">
        <v>13.7</v>
      </c>
      <c r="AD27">
        <v>15.8</v>
      </c>
      <c r="AE27">
        <v>18.2</v>
      </c>
    </row>
    <row r="28" spans="1:31" x14ac:dyDescent="0.15">
      <c r="A28">
        <v>2</v>
      </c>
      <c r="B28" s="2">
        <v>2</v>
      </c>
      <c r="C28" s="3">
        <f t="shared" si="6"/>
        <v>2.1666666666666665</v>
      </c>
      <c r="E28">
        <v>86.9</v>
      </c>
      <c r="F28">
        <v>3.1</v>
      </c>
      <c r="G28">
        <f t="shared" si="0"/>
        <v>93.100000000000009</v>
      </c>
      <c r="H28">
        <f t="shared" si="1"/>
        <v>90</v>
      </c>
      <c r="I28">
        <f t="shared" si="2"/>
        <v>83.800000000000011</v>
      </c>
      <c r="J28">
        <f t="shared" si="3"/>
        <v>80.7</v>
      </c>
      <c r="K28">
        <f t="shared" si="4"/>
        <v>79.150000000000006</v>
      </c>
      <c r="L28">
        <f t="shared" si="5"/>
        <v>77.600000000000009</v>
      </c>
      <c r="N28">
        <v>12</v>
      </c>
      <c r="O28">
        <v>1.22</v>
      </c>
      <c r="P28">
        <f t="shared" si="7"/>
        <v>14.44</v>
      </c>
      <c r="Q28">
        <f t="shared" si="8"/>
        <v>13.22</v>
      </c>
      <c r="R28">
        <f t="shared" si="9"/>
        <v>10.78</v>
      </c>
      <c r="S28">
        <f t="shared" si="10"/>
        <v>9.56</v>
      </c>
      <c r="U28">
        <v>6.5</v>
      </c>
      <c r="V28" s="2">
        <v>5.8</v>
      </c>
      <c r="W28">
        <v>0.84</v>
      </c>
      <c r="X28">
        <f t="shared" si="11"/>
        <v>7.4799999999999995</v>
      </c>
      <c r="Y28">
        <f t="shared" si="12"/>
        <v>6.64</v>
      </c>
      <c r="Z28">
        <f t="shared" si="13"/>
        <v>4.96</v>
      </c>
      <c r="AA28">
        <f t="shared" si="14"/>
        <v>4.12</v>
      </c>
      <c r="AC28">
        <v>13.7</v>
      </c>
      <c r="AD28">
        <v>15.7</v>
      </c>
      <c r="AE28">
        <v>18.2</v>
      </c>
    </row>
    <row r="29" spans="1:31" x14ac:dyDescent="0.15">
      <c r="A29">
        <v>2</v>
      </c>
      <c r="B29" s="2">
        <v>3</v>
      </c>
      <c r="C29" s="3">
        <f t="shared" si="6"/>
        <v>2.25</v>
      </c>
      <c r="E29">
        <v>87.6</v>
      </c>
      <c r="F29">
        <v>3.1</v>
      </c>
      <c r="G29">
        <f t="shared" si="0"/>
        <v>93.8</v>
      </c>
      <c r="H29">
        <f t="shared" si="1"/>
        <v>90.699999999999989</v>
      </c>
      <c r="I29">
        <f t="shared" si="2"/>
        <v>84.5</v>
      </c>
      <c r="J29">
        <f t="shared" si="3"/>
        <v>81.399999999999991</v>
      </c>
      <c r="K29">
        <f t="shared" si="4"/>
        <v>79.849999999999994</v>
      </c>
      <c r="L29">
        <f t="shared" si="5"/>
        <v>78.3</v>
      </c>
      <c r="N29">
        <v>12.1</v>
      </c>
      <c r="O29">
        <v>1.25</v>
      </c>
      <c r="P29">
        <f t="shared" si="7"/>
        <v>14.6</v>
      </c>
      <c r="Q29">
        <f t="shared" si="8"/>
        <v>13.35</v>
      </c>
      <c r="R29">
        <f t="shared" si="9"/>
        <v>10.85</v>
      </c>
      <c r="S29">
        <f t="shared" si="10"/>
        <v>9.6</v>
      </c>
      <c r="U29">
        <v>6.75</v>
      </c>
      <c r="V29" s="2">
        <v>5.8</v>
      </c>
      <c r="W29">
        <v>0.83</v>
      </c>
      <c r="X29">
        <f t="shared" si="11"/>
        <v>7.46</v>
      </c>
      <c r="Y29">
        <f t="shared" si="12"/>
        <v>6.63</v>
      </c>
      <c r="Z29">
        <f t="shared" si="13"/>
        <v>4.97</v>
      </c>
      <c r="AA29">
        <f t="shared" si="14"/>
        <v>4.1399999999999997</v>
      </c>
      <c r="AC29">
        <v>13.7</v>
      </c>
      <c r="AD29">
        <v>15.7</v>
      </c>
      <c r="AE29">
        <v>18.2</v>
      </c>
    </row>
    <row r="30" spans="1:31" x14ac:dyDescent="0.15">
      <c r="A30">
        <v>2</v>
      </c>
      <c r="B30" s="2">
        <v>4</v>
      </c>
      <c r="C30" s="3">
        <f t="shared" si="6"/>
        <v>2.3333333333333335</v>
      </c>
      <c r="E30">
        <v>88.3</v>
      </c>
      <c r="F30">
        <v>3.2</v>
      </c>
      <c r="G30">
        <f t="shared" si="0"/>
        <v>94.7</v>
      </c>
      <c r="H30">
        <f t="shared" si="1"/>
        <v>91.5</v>
      </c>
      <c r="I30">
        <f t="shared" si="2"/>
        <v>85.1</v>
      </c>
      <c r="J30">
        <f t="shared" si="3"/>
        <v>81.899999999999991</v>
      </c>
      <c r="K30">
        <f t="shared" si="4"/>
        <v>80.3</v>
      </c>
      <c r="L30">
        <f t="shared" si="5"/>
        <v>78.699999999999989</v>
      </c>
      <c r="N30">
        <v>12.3</v>
      </c>
      <c r="O30">
        <v>1.27</v>
      </c>
      <c r="P30">
        <f t="shared" si="7"/>
        <v>14.84</v>
      </c>
      <c r="Q30">
        <f t="shared" si="8"/>
        <v>13.57</v>
      </c>
      <c r="R30">
        <f t="shared" si="9"/>
        <v>11.030000000000001</v>
      </c>
      <c r="S30">
        <f t="shared" si="10"/>
        <v>9.7600000000000016</v>
      </c>
      <c r="U30">
        <v>7</v>
      </c>
      <c r="V30" s="2">
        <v>5.8</v>
      </c>
      <c r="W30">
        <v>0.81</v>
      </c>
      <c r="X30">
        <f t="shared" si="11"/>
        <v>7.42</v>
      </c>
      <c r="Y30">
        <f t="shared" si="12"/>
        <v>6.6099999999999994</v>
      </c>
      <c r="Z30">
        <f t="shared" si="13"/>
        <v>4.99</v>
      </c>
      <c r="AA30">
        <f t="shared" si="14"/>
        <v>4.18</v>
      </c>
      <c r="AC30">
        <v>13.7</v>
      </c>
      <c r="AD30">
        <v>15.7</v>
      </c>
      <c r="AE30">
        <v>18.100000000000001</v>
      </c>
    </row>
    <row r="31" spans="1:31" x14ac:dyDescent="0.15">
      <c r="A31">
        <v>2</v>
      </c>
      <c r="B31" s="2">
        <v>5</v>
      </c>
      <c r="C31" s="3">
        <f t="shared" si="6"/>
        <v>2.4166666666666665</v>
      </c>
      <c r="E31">
        <v>88.9</v>
      </c>
      <c r="F31">
        <v>3.2</v>
      </c>
      <c r="G31">
        <f t="shared" si="0"/>
        <v>95.300000000000011</v>
      </c>
      <c r="H31">
        <f t="shared" si="1"/>
        <v>92.100000000000009</v>
      </c>
      <c r="I31">
        <f t="shared" si="2"/>
        <v>85.7</v>
      </c>
      <c r="J31">
        <f t="shared" si="3"/>
        <v>82.5</v>
      </c>
      <c r="K31">
        <f t="shared" si="4"/>
        <v>80.900000000000006</v>
      </c>
      <c r="L31">
        <f t="shared" si="5"/>
        <v>79.300000000000011</v>
      </c>
      <c r="N31">
        <v>12.5</v>
      </c>
      <c r="O31">
        <v>1.29</v>
      </c>
      <c r="P31">
        <f t="shared" si="7"/>
        <v>15.08</v>
      </c>
      <c r="Q31">
        <f t="shared" si="8"/>
        <v>13.79</v>
      </c>
      <c r="R31">
        <f t="shared" si="9"/>
        <v>11.21</v>
      </c>
      <c r="S31">
        <f t="shared" si="10"/>
        <v>9.92</v>
      </c>
      <c r="U31">
        <v>7.25</v>
      </c>
      <c r="V31" s="2">
        <v>5.8</v>
      </c>
      <c r="W31">
        <v>0.8</v>
      </c>
      <c r="X31">
        <f t="shared" si="11"/>
        <v>7.4</v>
      </c>
      <c r="Y31">
        <f t="shared" si="12"/>
        <v>6.6</v>
      </c>
      <c r="Z31">
        <f t="shared" si="13"/>
        <v>5</v>
      </c>
      <c r="AA31">
        <f t="shared" si="14"/>
        <v>4.1999999999999993</v>
      </c>
      <c r="AC31">
        <v>13.6</v>
      </c>
      <c r="AD31">
        <v>15.6</v>
      </c>
      <c r="AE31">
        <v>18.100000000000001</v>
      </c>
    </row>
    <row r="32" spans="1:31" x14ac:dyDescent="0.15">
      <c r="A32">
        <v>2</v>
      </c>
      <c r="B32" s="2">
        <v>6</v>
      </c>
      <c r="C32" s="3">
        <f t="shared" si="6"/>
        <v>2.5</v>
      </c>
      <c r="E32">
        <v>89.6</v>
      </c>
      <c r="F32">
        <v>3.2</v>
      </c>
      <c r="G32">
        <f t="shared" si="0"/>
        <v>96</v>
      </c>
      <c r="H32">
        <f t="shared" si="1"/>
        <v>92.8</v>
      </c>
      <c r="I32">
        <f t="shared" si="2"/>
        <v>86.399999999999991</v>
      </c>
      <c r="J32">
        <f t="shared" si="3"/>
        <v>83.199999999999989</v>
      </c>
      <c r="K32">
        <f t="shared" si="4"/>
        <v>81.599999999999994</v>
      </c>
      <c r="L32">
        <f t="shared" si="5"/>
        <v>80</v>
      </c>
      <c r="N32">
        <v>12.7</v>
      </c>
      <c r="O32">
        <v>1.31</v>
      </c>
      <c r="P32">
        <f t="shared" si="7"/>
        <v>15.32</v>
      </c>
      <c r="Q32">
        <f t="shared" si="8"/>
        <v>14.01</v>
      </c>
      <c r="R32">
        <f t="shared" si="9"/>
        <v>11.389999999999999</v>
      </c>
      <c r="S32">
        <f t="shared" si="10"/>
        <v>10.079999999999998</v>
      </c>
      <c r="U32">
        <v>7.5</v>
      </c>
      <c r="V32" s="2">
        <v>5.7</v>
      </c>
      <c r="W32">
        <v>0.78</v>
      </c>
      <c r="X32">
        <f t="shared" si="11"/>
        <v>7.26</v>
      </c>
      <c r="Y32">
        <f t="shared" si="12"/>
        <v>6.48</v>
      </c>
      <c r="Z32">
        <f t="shared" si="13"/>
        <v>4.92</v>
      </c>
      <c r="AA32">
        <f t="shared" si="14"/>
        <v>4.1400000000000006</v>
      </c>
      <c r="AC32">
        <v>13.6</v>
      </c>
      <c r="AD32">
        <v>15.6</v>
      </c>
      <c r="AE32">
        <v>18.100000000000001</v>
      </c>
    </row>
    <row r="33" spans="1:31" x14ac:dyDescent="0.15">
      <c r="A33">
        <v>2</v>
      </c>
      <c r="B33" s="2">
        <v>7</v>
      </c>
      <c r="C33" s="3">
        <f t="shared" si="6"/>
        <v>2.5833333333333335</v>
      </c>
      <c r="E33">
        <v>90.2</v>
      </c>
      <c r="F33">
        <v>3.3</v>
      </c>
      <c r="G33">
        <f t="shared" si="0"/>
        <v>96.8</v>
      </c>
      <c r="H33">
        <f t="shared" si="1"/>
        <v>93.5</v>
      </c>
      <c r="I33">
        <f t="shared" si="2"/>
        <v>86.9</v>
      </c>
      <c r="J33">
        <f t="shared" si="3"/>
        <v>83.600000000000009</v>
      </c>
      <c r="K33">
        <f t="shared" si="4"/>
        <v>81.95</v>
      </c>
      <c r="L33">
        <f t="shared" si="5"/>
        <v>80.300000000000011</v>
      </c>
      <c r="N33">
        <v>12.8</v>
      </c>
      <c r="O33">
        <v>1.33</v>
      </c>
      <c r="P33">
        <f t="shared" si="7"/>
        <v>15.46</v>
      </c>
      <c r="Q33">
        <f t="shared" si="8"/>
        <v>14.13</v>
      </c>
      <c r="R33">
        <f t="shared" si="9"/>
        <v>11.47</v>
      </c>
      <c r="S33">
        <f t="shared" si="10"/>
        <v>10.14</v>
      </c>
      <c r="U33">
        <v>7.75</v>
      </c>
      <c r="V33" s="2">
        <v>5.6</v>
      </c>
      <c r="W33">
        <v>0.78</v>
      </c>
      <c r="X33">
        <f t="shared" si="11"/>
        <v>7.16</v>
      </c>
      <c r="Y33">
        <f t="shared" si="12"/>
        <v>6.38</v>
      </c>
      <c r="Z33">
        <f>$V33-$W33</f>
        <v>4.8199999999999994</v>
      </c>
      <c r="AA33">
        <f t="shared" si="14"/>
        <v>4.0399999999999991</v>
      </c>
      <c r="AC33">
        <v>13.6</v>
      </c>
      <c r="AD33">
        <v>15.6</v>
      </c>
      <c r="AE33">
        <v>18.100000000000001</v>
      </c>
    </row>
    <row r="34" spans="1:31" x14ac:dyDescent="0.15">
      <c r="A34">
        <v>2</v>
      </c>
      <c r="B34" s="2">
        <v>8</v>
      </c>
      <c r="C34" s="3">
        <f t="shared" si="6"/>
        <v>2.6666666666666665</v>
      </c>
      <c r="E34">
        <v>90.8</v>
      </c>
      <c r="F34">
        <v>3.3</v>
      </c>
      <c r="G34">
        <f t="shared" si="0"/>
        <v>97.399999999999991</v>
      </c>
      <c r="H34">
        <f t="shared" si="1"/>
        <v>94.1</v>
      </c>
      <c r="I34">
        <f t="shared" si="2"/>
        <v>87.5</v>
      </c>
      <c r="J34">
        <f t="shared" si="3"/>
        <v>84.2</v>
      </c>
      <c r="K34">
        <f t="shared" si="4"/>
        <v>82.55</v>
      </c>
      <c r="L34">
        <f t="shared" si="5"/>
        <v>80.900000000000006</v>
      </c>
      <c r="N34">
        <v>13</v>
      </c>
      <c r="O34">
        <v>1.35</v>
      </c>
      <c r="P34">
        <f t="shared" si="7"/>
        <v>15.7</v>
      </c>
      <c r="Q34">
        <f t="shared" si="8"/>
        <v>14.35</v>
      </c>
      <c r="R34">
        <f t="shared" si="9"/>
        <v>11.65</v>
      </c>
      <c r="S34">
        <f t="shared" si="10"/>
        <v>10.3</v>
      </c>
      <c r="U34">
        <v>8</v>
      </c>
      <c r="V34" s="2">
        <v>5.5</v>
      </c>
      <c r="W34">
        <v>0.74</v>
      </c>
      <c r="X34">
        <f t="shared" si="11"/>
        <v>6.98</v>
      </c>
      <c r="Y34">
        <f t="shared" si="12"/>
        <v>6.24</v>
      </c>
      <c r="Z34">
        <f t="shared" si="13"/>
        <v>4.76</v>
      </c>
      <c r="AA34">
        <f t="shared" si="14"/>
        <v>4.0199999999999996</v>
      </c>
      <c r="AC34">
        <v>13.6</v>
      </c>
      <c r="AD34">
        <v>15.6</v>
      </c>
      <c r="AE34">
        <v>18</v>
      </c>
    </row>
    <row r="35" spans="1:31" x14ac:dyDescent="0.15">
      <c r="A35">
        <v>2</v>
      </c>
      <c r="B35" s="2">
        <v>9</v>
      </c>
      <c r="C35" s="3">
        <f t="shared" si="6"/>
        <v>2.75</v>
      </c>
      <c r="E35">
        <v>91.5</v>
      </c>
      <c r="F35">
        <v>3.3</v>
      </c>
      <c r="G35">
        <f t="shared" si="0"/>
        <v>98.1</v>
      </c>
      <c r="H35">
        <f t="shared" si="1"/>
        <v>94.8</v>
      </c>
      <c r="I35">
        <f t="shared" si="2"/>
        <v>88.2</v>
      </c>
      <c r="J35">
        <f t="shared" si="3"/>
        <v>84.9</v>
      </c>
      <c r="K35">
        <f t="shared" si="4"/>
        <v>83.25</v>
      </c>
      <c r="L35">
        <f t="shared" si="5"/>
        <v>81.599999999999994</v>
      </c>
      <c r="N35">
        <v>13.2</v>
      </c>
      <c r="O35">
        <v>1.37</v>
      </c>
      <c r="P35">
        <f t="shared" si="7"/>
        <v>15.94</v>
      </c>
      <c r="Q35">
        <f t="shared" si="8"/>
        <v>14.57</v>
      </c>
      <c r="R35">
        <f t="shared" si="9"/>
        <v>11.829999999999998</v>
      </c>
      <c r="S35">
        <f t="shared" si="10"/>
        <v>10.459999999999999</v>
      </c>
      <c r="U35">
        <v>8.25</v>
      </c>
      <c r="V35" s="2">
        <v>5.4</v>
      </c>
      <c r="W35">
        <v>0.7</v>
      </c>
      <c r="X35">
        <f t="shared" si="11"/>
        <v>6.8000000000000007</v>
      </c>
      <c r="Y35">
        <f t="shared" si="12"/>
        <v>6.1000000000000005</v>
      </c>
      <c r="Z35">
        <f t="shared" si="13"/>
        <v>4.7</v>
      </c>
      <c r="AA35">
        <f t="shared" si="14"/>
        <v>4</v>
      </c>
      <c r="AC35">
        <v>13.6</v>
      </c>
      <c r="AD35">
        <v>15.5</v>
      </c>
      <c r="AE35">
        <v>18</v>
      </c>
    </row>
    <row r="36" spans="1:31" x14ac:dyDescent="0.15">
      <c r="A36">
        <v>2</v>
      </c>
      <c r="B36" s="2">
        <v>10</v>
      </c>
      <c r="C36" s="3">
        <f t="shared" si="6"/>
        <v>2.8333333333333335</v>
      </c>
      <c r="E36">
        <v>92.1</v>
      </c>
      <c r="F36">
        <v>3.4</v>
      </c>
      <c r="G36">
        <f t="shared" si="0"/>
        <v>98.899999999999991</v>
      </c>
      <c r="H36">
        <f t="shared" si="1"/>
        <v>95.5</v>
      </c>
      <c r="I36">
        <f t="shared" si="2"/>
        <v>88.699999999999989</v>
      </c>
      <c r="J36">
        <f t="shared" si="3"/>
        <v>85.3</v>
      </c>
      <c r="K36">
        <f t="shared" si="4"/>
        <v>83.6</v>
      </c>
      <c r="L36">
        <f t="shared" si="5"/>
        <v>81.899999999999991</v>
      </c>
      <c r="N36">
        <v>13.3</v>
      </c>
      <c r="O36">
        <v>1.43</v>
      </c>
      <c r="P36">
        <f t="shared" si="7"/>
        <v>16.16</v>
      </c>
      <c r="Q36">
        <f t="shared" si="8"/>
        <v>14.73</v>
      </c>
      <c r="R36">
        <f t="shared" si="9"/>
        <v>11.870000000000001</v>
      </c>
      <c r="S36">
        <f t="shared" si="10"/>
        <v>10.440000000000001</v>
      </c>
      <c r="U36">
        <v>8.5</v>
      </c>
      <c r="V36" s="2">
        <v>5.3</v>
      </c>
      <c r="W36">
        <v>0.68</v>
      </c>
      <c r="X36">
        <f t="shared" si="11"/>
        <v>6.66</v>
      </c>
      <c r="Y36">
        <f t="shared" si="12"/>
        <v>5.9799999999999995</v>
      </c>
      <c r="Z36">
        <f t="shared" si="13"/>
        <v>4.62</v>
      </c>
      <c r="AA36">
        <f t="shared" si="14"/>
        <v>3.9399999999999995</v>
      </c>
      <c r="AC36">
        <v>13.6</v>
      </c>
      <c r="AD36">
        <v>15.5</v>
      </c>
      <c r="AE36">
        <v>18</v>
      </c>
    </row>
    <row r="37" spans="1:31" x14ac:dyDescent="0.15">
      <c r="A37">
        <v>2</v>
      </c>
      <c r="B37" s="2">
        <v>11</v>
      </c>
      <c r="C37" s="3">
        <f t="shared" si="6"/>
        <v>2.9166666666666665</v>
      </c>
      <c r="E37">
        <v>92.7</v>
      </c>
      <c r="F37">
        <v>3.4</v>
      </c>
      <c r="G37">
        <f t="shared" si="0"/>
        <v>99.5</v>
      </c>
      <c r="H37">
        <f t="shared" si="1"/>
        <v>96.100000000000009</v>
      </c>
      <c r="I37">
        <f t="shared" si="2"/>
        <v>89.3</v>
      </c>
      <c r="J37">
        <f t="shared" si="3"/>
        <v>85.9</v>
      </c>
      <c r="K37">
        <f t="shared" si="4"/>
        <v>84.2</v>
      </c>
      <c r="L37">
        <f t="shared" si="5"/>
        <v>82.5</v>
      </c>
      <c r="N37">
        <v>13.5</v>
      </c>
      <c r="O37">
        <v>1.48</v>
      </c>
      <c r="P37">
        <f t="shared" si="7"/>
        <v>16.46</v>
      </c>
      <c r="Q37">
        <f t="shared" si="8"/>
        <v>14.98</v>
      </c>
      <c r="R37">
        <f t="shared" si="9"/>
        <v>12.02</v>
      </c>
      <c r="S37">
        <f t="shared" si="10"/>
        <v>10.54</v>
      </c>
      <c r="U37">
        <v>8.75</v>
      </c>
      <c r="V37" s="2">
        <v>5.2</v>
      </c>
      <c r="W37">
        <v>0.68</v>
      </c>
      <c r="X37">
        <f t="shared" si="11"/>
        <v>6.5600000000000005</v>
      </c>
      <c r="Y37">
        <f t="shared" si="12"/>
        <v>5.88</v>
      </c>
      <c r="Z37">
        <f t="shared" si="13"/>
        <v>4.5200000000000005</v>
      </c>
      <c r="AA37">
        <f t="shared" si="14"/>
        <v>3.84</v>
      </c>
      <c r="AC37">
        <v>13.5</v>
      </c>
      <c r="AD37">
        <v>15.5</v>
      </c>
      <c r="AE37">
        <v>18</v>
      </c>
    </row>
    <row r="38" spans="1:31" x14ac:dyDescent="0.15">
      <c r="A38">
        <f>A26+1</f>
        <v>3</v>
      </c>
      <c r="B38" s="2">
        <v>0</v>
      </c>
      <c r="C38" s="3">
        <f t="shared" si="6"/>
        <v>3</v>
      </c>
      <c r="E38">
        <v>93.3</v>
      </c>
      <c r="F38">
        <v>3.5</v>
      </c>
      <c r="G38">
        <f t="shared" si="0"/>
        <v>100.3</v>
      </c>
      <c r="H38">
        <f t="shared" si="1"/>
        <v>96.8</v>
      </c>
      <c r="I38">
        <f t="shared" si="2"/>
        <v>89.8</v>
      </c>
      <c r="J38">
        <f t="shared" si="3"/>
        <v>86.3</v>
      </c>
      <c r="K38">
        <f t="shared" si="4"/>
        <v>84.55</v>
      </c>
      <c r="L38">
        <f t="shared" si="5"/>
        <v>82.8</v>
      </c>
      <c r="N38">
        <v>13.7</v>
      </c>
      <c r="O38">
        <v>1.54</v>
      </c>
      <c r="P38">
        <f t="shared" si="7"/>
        <v>16.78</v>
      </c>
      <c r="Q38">
        <f t="shared" si="8"/>
        <v>15.239999999999998</v>
      </c>
      <c r="R38">
        <f t="shared" si="9"/>
        <v>12.16</v>
      </c>
      <c r="S38">
        <f t="shared" si="10"/>
        <v>10.62</v>
      </c>
      <c r="U38">
        <v>9</v>
      </c>
      <c r="V38" s="2">
        <v>5.0999999999999996</v>
      </c>
      <c r="W38">
        <v>0.65</v>
      </c>
      <c r="X38">
        <f t="shared" si="11"/>
        <v>6.3999999999999995</v>
      </c>
      <c r="Y38">
        <f t="shared" si="12"/>
        <v>5.75</v>
      </c>
      <c r="Z38">
        <f t="shared" si="13"/>
        <v>4.4499999999999993</v>
      </c>
      <c r="AA38">
        <f t="shared" si="14"/>
        <v>3.8</v>
      </c>
      <c r="AC38">
        <v>13.5</v>
      </c>
      <c r="AD38">
        <v>15.5</v>
      </c>
      <c r="AE38">
        <v>18</v>
      </c>
    </row>
    <row r="39" spans="1:31" x14ac:dyDescent="0.15">
      <c r="A39">
        <f t="shared" ref="A39:A102" si="15">A27+1</f>
        <v>3</v>
      </c>
      <c r="B39" s="2">
        <v>1</v>
      </c>
      <c r="C39" s="3">
        <f t="shared" si="6"/>
        <v>3.0833333333333335</v>
      </c>
      <c r="E39">
        <v>94</v>
      </c>
      <c r="F39">
        <v>3.5</v>
      </c>
      <c r="G39">
        <f t="shared" si="0"/>
        <v>101</v>
      </c>
      <c r="H39">
        <f t="shared" si="1"/>
        <v>97.5</v>
      </c>
      <c r="I39">
        <f t="shared" si="2"/>
        <v>90.5</v>
      </c>
      <c r="J39">
        <f t="shared" si="3"/>
        <v>87</v>
      </c>
      <c r="K39">
        <f t="shared" si="4"/>
        <v>85.25</v>
      </c>
      <c r="L39">
        <f t="shared" si="5"/>
        <v>83.5</v>
      </c>
      <c r="N39">
        <v>13.9</v>
      </c>
      <c r="O39">
        <v>1.59</v>
      </c>
      <c r="P39">
        <f t="shared" si="7"/>
        <v>17.080000000000002</v>
      </c>
      <c r="Q39">
        <f t="shared" si="8"/>
        <v>15.49</v>
      </c>
      <c r="R39">
        <f t="shared" si="9"/>
        <v>12.31</v>
      </c>
      <c r="S39">
        <f t="shared" si="10"/>
        <v>10.72</v>
      </c>
      <c r="U39">
        <v>9.25</v>
      </c>
      <c r="V39" s="2">
        <v>5.0999999999999996</v>
      </c>
      <c r="W39">
        <v>0.65</v>
      </c>
      <c r="X39">
        <f t="shared" si="11"/>
        <v>6.3999999999999995</v>
      </c>
      <c r="Y39">
        <f t="shared" si="12"/>
        <v>5.75</v>
      </c>
      <c r="Z39">
        <f t="shared" si="13"/>
        <v>4.4499999999999993</v>
      </c>
      <c r="AA39">
        <f t="shared" si="14"/>
        <v>3.8</v>
      </c>
      <c r="AC39">
        <v>13.5</v>
      </c>
      <c r="AD39">
        <v>15.4</v>
      </c>
      <c r="AE39">
        <v>18</v>
      </c>
    </row>
    <row r="40" spans="1:31" x14ac:dyDescent="0.15">
      <c r="A40">
        <f t="shared" si="15"/>
        <v>3</v>
      </c>
      <c r="B40" s="2">
        <v>2</v>
      </c>
      <c r="C40" s="3">
        <f t="shared" si="6"/>
        <v>3.1666666666666665</v>
      </c>
      <c r="E40">
        <v>94.6</v>
      </c>
      <c r="F40">
        <v>3.5</v>
      </c>
      <c r="G40">
        <f t="shared" si="0"/>
        <v>101.6</v>
      </c>
      <c r="H40">
        <f t="shared" si="1"/>
        <v>98.1</v>
      </c>
      <c r="I40">
        <f t="shared" si="2"/>
        <v>91.1</v>
      </c>
      <c r="J40">
        <f t="shared" si="3"/>
        <v>87.6</v>
      </c>
      <c r="K40">
        <f t="shared" si="4"/>
        <v>85.85</v>
      </c>
      <c r="L40">
        <f t="shared" si="5"/>
        <v>84.1</v>
      </c>
      <c r="N40">
        <v>14</v>
      </c>
      <c r="O40">
        <v>1.65</v>
      </c>
      <c r="P40">
        <f t="shared" si="7"/>
        <v>17.3</v>
      </c>
      <c r="Q40">
        <f t="shared" si="8"/>
        <v>15.65</v>
      </c>
      <c r="R40">
        <f t="shared" si="9"/>
        <v>12.35</v>
      </c>
      <c r="S40">
        <f t="shared" si="10"/>
        <v>10.7</v>
      </c>
      <c r="U40">
        <v>9.5</v>
      </c>
      <c r="V40" s="2">
        <v>5</v>
      </c>
      <c r="W40">
        <v>0.65</v>
      </c>
      <c r="X40">
        <f t="shared" si="11"/>
        <v>6.3</v>
      </c>
      <c r="Y40">
        <f t="shared" si="12"/>
        <v>5.65</v>
      </c>
      <c r="Z40">
        <f t="shared" si="13"/>
        <v>4.3499999999999996</v>
      </c>
      <c r="AA40">
        <f t="shared" si="14"/>
        <v>3.7</v>
      </c>
      <c r="AC40">
        <v>13.5</v>
      </c>
      <c r="AD40">
        <v>15.4</v>
      </c>
      <c r="AE40">
        <v>18</v>
      </c>
    </row>
    <row r="41" spans="1:31" x14ac:dyDescent="0.15">
      <c r="A41">
        <f t="shared" si="15"/>
        <v>3</v>
      </c>
      <c r="B41" s="2">
        <v>3</v>
      </c>
      <c r="C41" s="3">
        <f t="shared" si="6"/>
        <v>3.25</v>
      </c>
      <c r="E41">
        <v>95.1</v>
      </c>
      <c r="F41">
        <v>3.6</v>
      </c>
      <c r="G41">
        <f t="shared" si="0"/>
        <v>102.3</v>
      </c>
      <c r="H41">
        <f t="shared" si="1"/>
        <v>98.699999999999989</v>
      </c>
      <c r="I41">
        <f t="shared" si="2"/>
        <v>91.5</v>
      </c>
      <c r="J41">
        <f t="shared" si="3"/>
        <v>87.899999999999991</v>
      </c>
      <c r="K41">
        <f t="shared" si="4"/>
        <v>86.1</v>
      </c>
      <c r="L41">
        <f t="shared" si="5"/>
        <v>84.3</v>
      </c>
      <c r="N41">
        <v>14.2</v>
      </c>
      <c r="O41">
        <v>1.7</v>
      </c>
      <c r="P41">
        <f t="shared" si="7"/>
        <v>17.599999999999998</v>
      </c>
      <c r="Q41">
        <f t="shared" si="8"/>
        <v>15.899999999999999</v>
      </c>
      <c r="R41">
        <f t="shared" si="9"/>
        <v>12.5</v>
      </c>
      <c r="S41">
        <f t="shared" si="10"/>
        <v>10.799999999999999</v>
      </c>
      <c r="U41">
        <v>9.75</v>
      </c>
      <c r="V41" s="2">
        <v>5</v>
      </c>
      <c r="W41">
        <v>0.65</v>
      </c>
      <c r="X41">
        <f t="shared" si="11"/>
        <v>6.3</v>
      </c>
      <c r="Y41">
        <f t="shared" si="12"/>
        <v>5.65</v>
      </c>
      <c r="Z41">
        <f t="shared" si="13"/>
        <v>4.3499999999999996</v>
      </c>
      <c r="AA41">
        <f t="shared" si="14"/>
        <v>3.7</v>
      </c>
      <c r="AC41">
        <v>13.5</v>
      </c>
      <c r="AD41">
        <v>15.4</v>
      </c>
      <c r="AE41">
        <v>18</v>
      </c>
    </row>
    <row r="42" spans="1:31" x14ac:dyDescent="0.15">
      <c r="A42">
        <f t="shared" si="15"/>
        <v>3</v>
      </c>
      <c r="B42" s="2">
        <v>4</v>
      </c>
      <c r="C42" s="3">
        <f t="shared" si="6"/>
        <v>3.3333333333333335</v>
      </c>
      <c r="E42">
        <v>95.7</v>
      </c>
      <c r="F42">
        <v>3.6</v>
      </c>
      <c r="G42">
        <f t="shared" si="0"/>
        <v>102.9</v>
      </c>
      <c r="H42">
        <f t="shared" si="1"/>
        <v>99.3</v>
      </c>
      <c r="I42">
        <f t="shared" si="2"/>
        <v>92.100000000000009</v>
      </c>
      <c r="J42">
        <f t="shared" si="3"/>
        <v>88.5</v>
      </c>
      <c r="K42">
        <f t="shared" si="4"/>
        <v>86.7</v>
      </c>
      <c r="L42">
        <f t="shared" si="5"/>
        <v>84.9</v>
      </c>
      <c r="N42">
        <v>14.4</v>
      </c>
      <c r="O42">
        <v>1.72</v>
      </c>
      <c r="P42">
        <f t="shared" si="7"/>
        <v>17.84</v>
      </c>
      <c r="Q42">
        <f t="shared" si="8"/>
        <v>16.12</v>
      </c>
      <c r="R42">
        <f t="shared" si="9"/>
        <v>12.68</v>
      </c>
      <c r="S42">
        <f t="shared" si="10"/>
        <v>10.96</v>
      </c>
      <c r="U42">
        <v>10</v>
      </c>
      <c r="V42" s="2">
        <v>4.9000000000000004</v>
      </c>
      <c r="W42">
        <v>0.68</v>
      </c>
      <c r="X42">
        <f t="shared" si="11"/>
        <v>6.2600000000000007</v>
      </c>
      <c r="Y42">
        <f t="shared" si="12"/>
        <v>5.58</v>
      </c>
      <c r="Z42">
        <f t="shared" si="13"/>
        <v>4.2200000000000006</v>
      </c>
      <c r="AA42">
        <f t="shared" si="14"/>
        <v>3.54</v>
      </c>
      <c r="AC42">
        <v>13.5</v>
      </c>
      <c r="AD42">
        <v>15.4</v>
      </c>
      <c r="AE42">
        <v>18</v>
      </c>
    </row>
    <row r="43" spans="1:31" x14ac:dyDescent="0.15">
      <c r="A43">
        <f t="shared" si="15"/>
        <v>3</v>
      </c>
      <c r="B43" s="2">
        <v>5</v>
      </c>
      <c r="C43" s="3">
        <f t="shared" si="6"/>
        <v>3.4166666666666665</v>
      </c>
      <c r="E43">
        <v>96.3</v>
      </c>
      <c r="F43">
        <v>3.6</v>
      </c>
      <c r="G43">
        <f t="shared" si="0"/>
        <v>103.5</v>
      </c>
      <c r="H43">
        <f t="shared" si="1"/>
        <v>99.899999999999991</v>
      </c>
      <c r="I43">
        <f t="shared" si="2"/>
        <v>92.7</v>
      </c>
      <c r="J43">
        <f t="shared" si="3"/>
        <v>89.1</v>
      </c>
      <c r="K43">
        <f t="shared" si="4"/>
        <v>87.3</v>
      </c>
      <c r="L43">
        <f t="shared" si="5"/>
        <v>85.5</v>
      </c>
      <c r="N43">
        <v>14.5</v>
      </c>
      <c r="O43">
        <v>1.75</v>
      </c>
      <c r="P43">
        <f t="shared" si="7"/>
        <v>18</v>
      </c>
      <c r="Q43">
        <f t="shared" si="8"/>
        <v>16.25</v>
      </c>
      <c r="R43">
        <f t="shared" si="9"/>
        <v>12.75</v>
      </c>
      <c r="S43">
        <f t="shared" si="10"/>
        <v>11</v>
      </c>
      <c r="U43">
        <v>10.25</v>
      </c>
      <c r="V43" s="2">
        <v>4.9000000000000004</v>
      </c>
      <c r="W43">
        <v>0.66</v>
      </c>
      <c r="X43">
        <f t="shared" si="11"/>
        <v>6.2200000000000006</v>
      </c>
      <c r="Y43">
        <f t="shared" si="12"/>
        <v>5.5600000000000005</v>
      </c>
      <c r="Z43">
        <f t="shared" si="13"/>
        <v>4.24</v>
      </c>
      <c r="AA43">
        <f t="shared" si="14"/>
        <v>3.58</v>
      </c>
      <c r="AC43">
        <v>13.5</v>
      </c>
      <c r="AD43">
        <v>15.4</v>
      </c>
      <c r="AE43">
        <v>18</v>
      </c>
    </row>
    <row r="44" spans="1:31" x14ac:dyDescent="0.15">
      <c r="A44">
        <f t="shared" si="15"/>
        <v>3</v>
      </c>
      <c r="B44" s="2">
        <v>6</v>
      </c>
      <c r="C44" s="3">
        <f t="shared" si="6"/>
        <v>3.5</v>
      </c>
      <c r="E44">
        <v>96.9</v>
      </c>
      <c r="F44">
        <v>3.7</v>
      </c>
      <c r="G44">
        <f t="shared" si="0"/>
        <v>104.30000000000001</v>
      </c>
      <c r="H44">
        <f t="shared" si="1"/>
        <v>100.60000000000001</v>
      </c>
      <c r="I44">
        <f t="shared" si="2"/>
        <v>93.2</v>
      </c>
      <c r="J44">
        <f t="shared" si="3"/>
        <v>89.5</v>
      </c>
      <c r="K44">
        <f t="shared" si="4"/>
        <v>87.65</v>
      </c>
      <c r="L44">
        <f t="shared" si="5"/>
        <v>85.800000000000011</v>
      </c>
      <c r="N44">
        <v>14.7</v>
      </c>
      <c r="O44">
        <v>1.77</v>
      </c>
      <c r="P44">
        <f t="shared" si="7"/>
        <v>18.239999999999998</v>
      </c>
      <c r="Q44">
        <f t="shared" si="8"/>
        <v>16.47</v>
      </c>
      <c r="R44">
        <f t="shared" si="9"/>
        <v>12.93</v>
      </c>
      <c r="S44">
        <f t="shared" si="10"/>
        <v>11.16</v>
      </c>
      <c r="U44">
        <v>10.5</v>
      </c>
      <c r="V44" s="2">
        <v>5</v>
      </c>
      <c r="W44">
        <v>0.66</v>
      </c>
      <c r="X44">
        <f t="shared" si="11"/>
        <v>6.32</v>
      </c>
      <c r="Y44">
        <f t="shared" si="12"/>
        <v>5.66</v>
      </c>
      <c r="Z44">
        <f t="shared" si="13"/>
        <v>4.34</v>
      </c>
      <c r="AA44">
        <f t="shared" si="14"/>
        <v>3.6799999999999997</v>
      </c>
      <c r="AC44">
        <v>13.4</v>
      </c>
      <c r="AD44">
        <v>15.4</v>
      </c>
      <c r="AE44">
        <v>18</v>
      </c>
    </row>
    <row r="45" spans="1:31" x14ac:dyDescent="0.15">
      <c r="A45">
        <f t="shared" si="15"/>
        <v>3</v>
      </c>
      <c r="B45" s="2">
        <v>7</v>
      </c>
      <c r="C45" s="3">
        <f t="shared" si="6"/>
        <v>3.5833333333333335</v>
      </c>
      <c r="E45">
        <v>97.5</v>
      </c>
      <c r="F45">
        <v>3.7</v>
      </c>
      <c r="G45">
        <f t="shared" si="0"/>
        <v>104.9</v>
      </c>
      <c r="H45">
        <f t="shared" si="1"/>
        <v>101.2</v>
      </c>
      <c r="I45">
        <f t="shared" si="2"/>
        <v>93.8</v>
      </c>
      <c r="J45">
        <f t="shared" si="3"/>
        <v>90.1</v>
      </c>
      <c r="K45">
        <f t="shared" si="4"/>
        <v>88.25</v>
      </c>
      <c r="L45">
        <f t="shared" si="5"/>
        <v>86.4</v>
      </c>
      <c r="N45">
        <v>14.8</v>
      </c>
      <c r="O45">
        <v>1.79</v>
      </c>
      <c r="P45">
        <f t="shared" si="7"/>
        <v>18.380000000000003</v>
      </c>
      <c r="Q45">
        <f t="shared" si="8"/>
        <v>16.59</v>
      </c>
      <c r="R45">
        <f t="shared" si="9"/>
        <v>13.010000000000002</v>
      </c>
      <c r="S45">
        <f t="shared" si="10"/>
        <v>11.22</v>
      </c>
      <c r="U45">
        <v>10.75</v>
      </c>
      <c r="V45" s="2">
        <v>5</v>
      </c>
      <c r="W45">
        <v>0.66</v>
      </c>
      <c r="X45">
        <f t="shared" si="11"/>
        <v>6.32</v>
      </c>
      <c r="Y45">
        <f t="shared" si="12"/>
        <v>5.66</v>
      </c>
      <c r="Z45">
        <f t="shared" si="13"/>
        <v>4.34</v>
      </c>
      <c r="AA45">
        <f t="shared" si="14"/>
        <v>3.6799999999999997</v>
      </c>
      <c r="AC45">
        <v>13.4</v>
      </c>
      <c r="AD45">
        <v>15.4</v>
      </c>
      <c r="AE45">
        <v>18</v>
      </c>
    </row>
    <row r="46" spans="1:31" x14ac:dyDescent="0.15">
      <c r="A46">
        <f t="shared" si="15"/>
        <v>3</v>
      </c>
      <c r="B46" s="2">
        <v>8</v>
      </c>
      <c r="C46" s="3">
        <f t="shared" si="6"/>
        <v>3.6666666666666665</v>
      </c>
      <c r="E46">
        <v>98</v>
      </c>
      <c r="F46">
        <v>3.7</v>
      </c>
      <c r="G46">
        <f t="shared" si="0"/>
        <v>105.4</v>
      </c>
      <c r="H46">
        <f t="shared" si="1"/>
        <v>101.7</v>
      </c>
      <c r="I46">
        <f t="shared" si="2"/>
        <v>94.3</v>
      </c>
      <c r="J46">
        <f t="shared" si="3"/>
        <v>90.6</v>
      </c>
      <c r="K46">
        <f t="shared" si="4"/>
        <v>88.75</v>
      </c>
      <c r="L46">
        <f t="shared" si="5"/>
        <v>86.9</v>
      </c>
      <c r="N46">
        <v>15</v>
      </c>
      <c r="O46">
        <v>1.82</v>
      </c>
      <c r="P46">
        <f t="shared" si="7"/>
        <v>18.64</v>
      </c>
      <c r="Q46">
        <f t="shared" si="8"/>
        <v>16.82</v>
      </c>
      <c r="R46">
        <f t="shared" si="9"/>
        <v>13.18</v>
      </c>
      <c r="S46">
        <f t="shared" si="10"/>
        <v>11.36</v>
      </c>
      <c r="U46">
        <v>11</v>
      </c>
      <c r="V46" s="2">
        <v>5.0999999999999996</v>
      </c>
      <c r="W46">
        <v>0.7</v>
      </c>
      <c r="X46">
        <f t="shared" si="11"/>
        <v>6.5</v>
      </c>
      <c r="Y46">
        <f t="shared" si="12"/>
        <v>5.8</v>
      </c>
      <c r="Z46">
        <f t="shared" si="13"/>
        <v>4.3999999999999995</v>
      </c>
      <c r="AA46">
        <f t="shared" si="14"/>
        <v>3.6999999999999997</v>
      </c>
      <c r="AC46">
        <v>13.4</v>
      </c>
      <c r="AD46">
        <v>15.3</v>
      </c>
      <c r="AE46">
        <v>18</v>
      </c>
    </row>
    <row r="47" spans="1:31" x14ac:dyDescent="0.15">
      <c r="A47">
        <f t="shared" si="15"/>
        <v>3</v>
      </c>
      <c r="B47" s="2">
        <v>9</v>
      </c>
      <c r="C47" s="3">
        <f t="shared" si="6"/>
        <v>3.75</v>
      </c>
      <c r="E47">
        <v>98.6</v>
      </c>
      <c r="F47">
        <v>3.8</v>
      </c>
      <c r="G47">
        <f t="shared" si="0"/>
        <v>106.19999999999999</v>
      </c>
      <c r="H47">
        <f t="shared" si="1"/>
        <v>102.39999999999999</v>
      </c>
      <c r="I47">
        <f t="shared" si="2"/>
        <v>94.8</v>
      </c>
      <c r="J47">
        <f t="shared" si="3"/>
        <v>91</v>
      </c>
      <c r="K47">
        <f t="shared" si="4"/>
        <v>89.1</v>
      </c>
      <c r="L47">
        <f t="shared" si="5"/>
        <v>87.199999999999989</v>
      </c>
      <c r="N47">
        <v>15.1</v>
      </c>
      <c r="O47">
        <v>1.84</v>
      </c>
      <c r="P47">
        <f t="shared" si="7"/>
        <v>18.78</v>
      </c>
      <c r="Q47">
        <f t="shared" si="8"/>
        <v>16.940000000000001</v>
      </c>
      <c r="R47">
        <f t="shared" si="9"/>
        <v>13.26</v>
      </c>
      <c r="S47">
        <f t="shared" si="10"/>
        <v>11.42</v>
      </c>
      <c r="U47">
        <v>11.25</v>
      </c>
      <c r="V47" s="2">
        <v>5.3</v>
      </c>
      <c r="W47">
        <v>0.72</v>
      </c>
      <c r="X47">
        <f t="shared" si="11"/>
        <v>6.74</v>
      </c>
      <c r="Y47">
        <f t="shared" si="12"/>
        <v>6.02</v>
      </c>
      <c r="Z47">
        <f t="shared" si="13"/>
        <v>4.58</v>
      </c>
      <c r="AA47">
        <f t="shared" si="14"/>
        <v>3.86</v>
      </c>
      <c r="AC47">
        <v>13.4</v>
      </c>
      <c r="AD47">
        <v>15.3</v>
      </c>
      <c r="AE47">
        <v>18</v>
      </c>
    </row>
    <row r="48" spans="1:31" x14ac:dyDescent="0.15">
      <c r="A48">
        <f t="shared" si="15"/>
        <v>3</v>
      </c>
      <c r="B48" s="2">
        <v>10</v>
      </c>
      <c r="C48" s="3">
        <f t="shared" si="6"/>
        <v>3.8333333333333335</v>
      </c>
      <c r="E48">
        <v>99.1</v>
      </c>
      <c r="F48">
        <v>3.8</v>
      </c>
      <c r="G48">
        <f t="shared" si="0"/>
        <v>106.69999999999999</v>
      </c>
      <c r="H48">
        <f t="shared" si="1"/>
        <v>102.89999999999999</v>
      </c>
      <c r="I48">
        <f t="shared" si="2"/>
        <v>95.3</v>
      </c>
      <c r="J48">
        <f t="shared" si="3"/>
        <v>91.5</v>
      </c>
      <c r="K48">
        <f t="shared" si="4"/>
        <v>89.6</v>
      </c>
      <c r="L48">
        <f t="shared" si="5"/>
        <v>87.699999999999989</v>
      </c>
      <c r="N48">
        <v>15.3</v>
      </c>
      <c r="O48">
        <v>1.89</v>
      </c>
      <c r="P48">
        <f t="shared" si="7"/>
        <v>19.080000000000002</v>
      </c>
      <c r="Q48">
        <f t="shared" si="8"/>
        <v>17.190000000000001</v>
      </c>
      <c r="R48">
        <f t="shared" si="9"/>
        <v>13.41</v>
      </c>
      <c r="S48">
        <f t="shared" si="10"/>
        <v>11.520000000000001</v>
      </c>
      <c r="U48">
        <v>11.5</v>
      </c>
      <c r="V48" s="2">
        <v>5.6</v>
      </c>
      <c r="W48">
        <v>0.72</v>
      </c>
      <c r="X48">
        <f t="shared" si="11"/>
        <v>7.0399999999999991</v>
      </c>
      <c r="Y48">
        <f t="shared" si="12"/>
        <v>6.3199999999999994</v>
      </c>
      <c r="Z48">
        <f t="shared" si="13"/>
        <v>4.88</v>
      </c>
      <c r="AA48">
        <f t="shared" si="14"/>
        <v>4.16</v>
      </c>
      <c r="AC48">
        <v>13.4</v>
      </c>
      <c r="AD48">
        <v>15.3</v>
      </c>
      <c r="AE48">
        <v>18</v>
      </c>
    </row>
    <row r="49" spans="1:31" x14ac:dyDescent="0.15">
      <c r="A49">
        <f t="shared" si="15"/>
        <v>3</v>
      </c>
      <c r="B49" s="2">
        <v>11</v>
      </c>
      <c r="C49" s="3">
        <f t="shared" si="6"/>
        <v>3.9166666666666665</v>
      </c>
      <c r="E49">
        <v>99.7</v>
      </c>
      <c r="F49">
        <v>3.9</v>
      </c>
      <c r="G49">
        <f t="shared" si="0"/>
        <v>107.5</v>
      </c>
      <c r="H49">
        <f t="shared" si="1"/>
        <v>103.60000000000001</v>
      </c>
      <c r="I49">
        <f t="shared" si="2"/>
        <v>95.8</v>
      </c>
      <c r="J49">
        <f t="shared" si="3"/>
        <v>91.9</v>
      </c>
      <c r="K49">
        <f t="shared" si="4"/>
        <v>89.95</v>
      </c>
      <c r="L49">
        <f t="shared" si="5"/>
        <v>88</v>
      </c>
      <c r="N49">
        <v>15.4</v>
      </c>
      <c r="O49">
        <v>1.93</v>
      </c>
      <c r="P49">
        <f t="shared" si="7"/>
        <v>19.260000000000002</v>
      </c>
      <c r="Q49">
        <f t="shared" si="8"/>
        <v>17.330000000000002</v>
      </c>
      <c r="R49">
        <f t="shared" si="9"/>
        <v>13.47</v>
      </c>
      <c r="S49">
        <f t="shared" si="10"/>
        <v>11.540000000000001</v>
      </c>
      <c r="U49">
        <v>11.75</v>
      </c>
      <c r="V49" s="2">
        <v>6.1</v>
      </c>
      <c r="W49">
        <v>0.75</v>
      </c>
      <c r="X49">
        <f t="shared" si="11"/>
        <v>7.6</v>
      </c>
      <c r="Y49">
        <f t="shared" si="12"/>
        <v>6.85</v>
      </c>
      <c r="Z49">
        <f t="shared" si="13"/>
        <v>5.35</v>
      </c>
      <c r="AA49">
        <f t="shared" si="14"/>
        <v>4.5999999999999996</v>
      </c>
      <c r="AC49">
        <v>13.4</v>
      </c>
      <c r="AD49">
        <v>15.3</v>
      </c>
      <c r="AE49">
        <v>18</v>
      </c>
    </row>
    <row r="50" spans="1:31" x14ac:dyDescent="0.15">
      <c r="A50">
        <f t="shared" si="15"/>
        <v>4</v>
      </c>
      <c r="B50" s="2">
        <v>0</v>
      </c>
      <c r="C50" s="3">
        <f t="shared" si="6"/>
        <v>4</v>
      </c>
      <c r="E50">
        <v>100.2</v>
      </c>
      <c r="F50">
        <v>3.9</v>
      </c>
      <c r="G50">
        <f t="shared" si="0"/>
        <v>108</v>
      </c>
      <c r="H50">
        <f t="shared" si="1"/>
        <v>104.10000000000001</v>
      </c>
      <c r="I50">
        <f t="shared" si="2"/>
        <v>96.3</v>
      </c>
      <c r="J50">
        <f t="shared" si="3"/>
        <v>92.4</v>
      </c>
      <c r="K50">
        <f t="shared" si="4"/>
        <v>90.45</v>
      </c>
      <c r="L50">
        <f t="shared" si="5"/>
        <v>88.5</v>
      </c>
      <c r="N50">
        <v>15.6</v>
      </c>
      <c r="O50">
        <v>1.98</v>
      </c>
      <c r="P50">
        <f t="shared" si="7"/>
        <v>19.559999999999999</v>
      </c>
      <c r="Q50">
        <f t="shared" si="8"/>
        <v>17.579999999999998</v>
      </c>
      <c r="R50">
        <f t="shared" si="9"/>
        <v>13.62</v>
      </c>
      <c r="S50">
        <f t="shared" si="10"/>
        <v>11.64</v>
      </c>
      <c r="U50">
        <v>12</v>
      </c>
      <c r="V50" s="2">
        <v>6.7</v>
      </c>
      <c r="W50">
        <v>0.8</v>
      </c>
      <c r="X50">
        <f t="shared" si="11"/>
        <v>8.3000000000000007</v>
      </c>
      <c r="Y50">
        <f t="shared" si="12"/>
        <v>7.5</v>
      </c>
      <c r="Z50">
        <f t="shared" si="13"/>
        <v>5.9</v>
      </c>
      <c r="AA50">
        <f t="shared" si="14"/>
        <v>5.0999999999999996</v>
      </c>
      <c r="AC50">
        <v>13.4</v>
      </c>
      <c r="AD50">
        <v>15.3</v>
      </c>
      <c r="AE50">
        <v>18.100000000000001</v>
      </c>
    </row>
    <row r="51" spans="1:31" x14ac:dyDescent="0.15">
      <c r="A51">
        <f t="shared" si="15"/>
        <v>4</v>
      </c>
      <c r="B51" s="2">
        <v>1</v>
      </c>
      <c r="C51" s="3">
        <f t="shared" si="6"/>
        <v>4.083333333333333</v>
      </c>
      <c r="E51">
        <v>100.8</v>
      </c>
      <c r="F51">
        <v>3.9</v>
      </c>
      <c r="G51">
        <f t="shared" si="0"/>
        <v>108.6</v>
      </c>
      <c r="H51">
        <f t="shared" si="1"/>
        <v>104.7</v>
      </c>
      <c r="I51">
        <f t="shared" si="2"/>
        <v>96.899999999999991</v>
      </c>
      <c r="J51">
        <f t="shared" si="3"/>
        <v>93</v>
      </c>
      <c r="K51">
        <f t="shared" si="4"/>
        <v>91.05</v>
      </c>
      <c r="L51">
        <f t="shared" si="5"/>
        <v>89.1</v>
      </c>
      <c r="N51">
        <v>15.8</v>
      </c>
      <c r="O51">
        <v>2.02</v>
      </c>
      <c r="P51">
        <f t="shared" si="7"/>
        <v>19.84</v>
      </c>
      <c r="Q51">
        <f t="shared" si="8"/>
        <v>17.82</v>
      </c>
      <c r="R51">
        <f t="shared" si="9"/>
        <v>13.780000000000001</v>
      </c>
      <c r="S51">
        <f t="shared" si="10"/>
        <v>11.760000000000002</v>
      </c>
      <c r="U51">
        <v>12.25</v>
      </c>
      <c r="V51" s="2">
        <v>7.4</v>
      </c>
      <c r="W51">
        <v>0.9</v>
      </c>
      <c r="X51">
        <f t="shared" si="11"/>
        <v>9.2000000000000011</v>
      </c>
      <c r="Y51">
        <f t="shared" si="12"/>
        <v>8.3000000000000007</v>
      </c>
      <c r="Z51">
        <f t="shared" si="13"/>
        <v>6.5</v>
      </c>
      <c r="AA51">
        <f t="shared" si="14"/>
        <v>5.6000000000000005</v>
      </c>
      <c r="AC51">
        <v>13.4</v>
      </c>
      <c r="AD51">
        <v>15.3</v>
      </c>
      <c r="AE51">
        <v>18.100000000000001</v>
      </c>
    </row>
    <row r="52" spans="1:31" x14ac:dyDescent="0.15">
      <c r="A52">
        <f t="shared" si="15"/>
        <v>4</v>
      </c>
      <c r="B52" s="2">
        <v>2</v>
      </c>
      <c r="C52" s="3">
        <f t="shared" si="6"/>
        <v>4.166666666666667</v>
      </c>
      <c r="E52">
        <v>101.3</v>
      </c>
      <c r="F52">
        <v>4</v>
      </c>
      <c r="G52">
        <f t="shared" si="0"/>
        <v>109.3</v>
      </c>
      <c r="H52">
        <f t="shared" si="1"/>
        <v>105.3</v>
      </c>
      <c r="I52">
        <f t="shared" si="2"/>
        <v>97.3</v>
      </c>
      <c r="J52">
        <f t="shared" si="3"/>
        <v>93.3</v>
      </c>
      <c r="K52">
        <f t="shared" si="4"/>
        <v>91.3</v>
      </c>
      <c r="L52">
        <f t="shared" si="5"/>
        <v>89.3</v>
      </c>
      <c r="N52">
        <v>15.9</v>
      </c>
      <c r="O52">
        <v>2.0699999999999998</v>
      </c>
      <c r="P52">
        <f t="shared" si="7"/>
        <v>20.04</v>
      </c>
      <c r="Q52">
        <f t="shared" si="8"/>
        <v>17.97</v>
      </c>
      <c r="R52">
        <f t="shared" si="9"/>
        <v>13.83</v>
      </c>
      <c r="S52">
        <f t="shared" si="10"/>
        <v>11.760000000000002</v>
      </c>
      <c r="U52">
        <v>12.5</v>
      </c>
      <c r="V52" s="2">
        <v>8.6</v>
      </c>
      <c r="W52">
        <v>1.1499999999999999</v>
      </c>
      <c r="X52">
        <f t="shared" si="11"/>
        <v>10.899999999999999</v>
      </c>
      <c r="Y52">
        <f t="shared" si="12"/>
        <v>9.75</v>
      </c>
      <c r="Z52">
        <f t="shared" si="13"/>
        <v>7.4499999999999993</v>
      </c>
      <c r="AA52">
        <f t="shared" si="14"/>
        <v>6.3</v>
      </c>
      <c r="AC52">
        <v>13.4</v>
      </c>
      <c r="AD52">
        <v>15.3</v>
      </c>
      <c r="AE52">
        <v>18.100000000000001</v>
      </c>
    </row>
    <row r="53" spans="1:31" x14ac:dyDescent="0.15">
      <c r="A53">
        <f t="shared" si="15"/>
        <v>4</v>
      </c>
      <c r="B53" s="2">
        <v>3</v>
      </c>
      <c r="C53" s="3">
        <f t="shared" si="6"/>
        <v>4.25</v>
      </c>
      <c r="E53">
        <v>101.9</v>
      </c>
      <c r="F53">
        <v>4</v>
      </c>
      <c r="G53">
        <f t="shared" si="0"/>
        <v>109.9</v>
      </c>
      <c r="H53">
        <f t="shared" si="1"/>
        <v>105.9</v>
      </c>
      <c r="I53">
        <f t="shared" si="2"/>
        <v>97.9</v>
      </c>
      <c r="J53">
        <f t="shared" si="3"/>
        <v>93.9</v>
      </c>
      <c r="K53">
        <f t="shared" si="4"/>
        <v>91.9</v>
      </c>
      <c r="L53">
        <f t="shared" si="5"/>
        <v>89.9</v>
      </c>
      <c r="N53">
        <v>16.100000000000001</v>
      </c>
      <c r="O53">
        <v>2.11</v>
      </c>
      <c r="P53">
        <f t="shared" si="7"/>
        <v>20.32</v>
      </c>
      <c r="Q53">
        <f t="shared" si="8"/>
        <v>18.21</v>
      </c>
      <c r="R53">
        <f t="shared" si="9"/>
        <v>13.990000000000002</v>
      </c>
      <c r="S53">
        <f t="shared" si="10"/>
        <v>11.880000000000003</v>
      </c>
      <c r="U53">
        <v>12.75</v>
      </c>
      <c r="V53" s="2">
        <v>9.5</v>
      </c>
      <c r="W53">
        <v>1.4</v>
      </c>
      <c r="X53">
        <f t="shared" si="11"/>
        <v>12.3</v>
      </c>
      <c r="Y53">
        <f t="shared" si="12"/>
        <v>10.9</v>
      </c>
      <c r="Z53">
        <f t="shared" si="13"/>
        <v>8.1</v>
      </c>
      <c r="AA53">
        <f t="shared" si="14"/>
        <v>6.7</v>
      </c>
      <c r="AC53">
        <v>13.4</v>
      </c>
      <c r="AD53">
        <v>15.3</v>
      </c>
      <c r="AE53">
        <v>18.100000000000001</v>
      </c>
    </row>
    <row r="54" spans="1:31" x14ac:dyDescent="0.15">
      <c r="A54">
        <f t="shared" si="15"/>
        <v>4</v>
      </c>
      <c r="B54" s="2">
        <v>4</v>
      </c>
      <c r="C54" s="3">
        <f t="shared" si="6"/>
        <v>4.333333333333333</v>
      </c>
      <c r="E54">
        <v>102.4</v>
      </c>
      <c r="F54">
        <v>4</v>
      </c>
      <c r="G54">
        <f t="shared" si="0"/>
        <v>110.4</v>
      </c>
      <c r="H54">
        <f t="shared" si="1"/>
        <v>106.4</v>
      </c>
      <c r="I54">
        <f t="shared" si="2"/>
        <v>98.4</v>
      </c>
      <c r="J54">
        <f t="shared" si="3"/>
        <v>94.4</v>
      </c>
      <c r="K54">
        <f t="shared" si="4"/>
        <v>92.4</v>
      </c>
      <c r="L54">
        <f t="shared" si="5"/>
        <v>90.4</v>
      </c>
      <c r="N54">
        <v>16.3</v>
      </c>
      <c r="O54">
        <v>2.12</v>
      </c>
      <c r="P54">
        <f t="shared" si="7"/>
        <v>20.54</v>
      </c>
      <c r="Q54">
        <f t="shared" si="8"/>
        <v>18.420000000000002</v>
      </c>
      <c r="R54">
        <f t="shared" si="9"/>
        <v>14.18</v>
      </c>
      <c r="S54">
        <f t="shared" si="10"/>
        <v>12.06</v>
      </c>
      <c r="U54">
        <v>13</v>
      </c>
      <c r="V54" s="2">
        <v>9.9</v>
      </c>
      <c r="W54">
        <v>1.45</v>
      </c>
      <c r="X54">
        <f t="shared" si="11"/>
        <v>12.8</v>
      </c>
      <c r="Y54">
        <f t="shared" si="12"/>
        <v>11.35</v>
      </c>
      <c r="Z54">
        <f t="shared" si="13"/>
        <v>8.4500000000000011</v>
      </c>
      <c r="AA54">
        <f t="shared" si="14"/>
        <v>7</v>
      </c>
      <c r="AC54">
        <v>13.3</v>
      </c>
      <c r="AD54">
        <v>15.3</v>
      </c>
      <c r="AE54">
        <v>18.2</v>
      </c>
    </row>
    <row r="55" spans="1:31" x14ac:dyDescent="0.15">
      <c r="A55">
        <f t="shared" si="15"/>
        <v>4</v>
      </c>
      <c r="B55" s="2">
        <v>5</v>
      </c>
      <c r="C55" s="3">
        <f t="shared" si="6"/>
        <v>4.416666666666667</v>
      </c>
      <c r="E55">
        <v>103</v>
      </c>
      <c r="F55">
        <v>4.0999999999999996</v>
      </c>
      <c r="G55">
        <f t="shared" si="0"/>
        <v>111.2</v>
      </c>
      <c r="H55">
        <f t="shared" si="1"/>
        <v>107.1</v>
      </c>
      <c r="I55">
        <f t="shared" si="2"/>
        <v>98.9</v>
      </c>
      <c r="J55">
        <f t="shared" si="3"/>
        <v>94.8</v>
      </c>
      <c r="K55">
        <f t="shared" si="4"/>
        <v>92.75</v>
      </c>
      <c r="L55">
        <f t="shared" si="5"/>
        <v>90.7</v>
      </c>
      <c r="N55">
        <v>16.399999999999999</v>
      </c>
      <c r="O55">
        <v>2.13</v>
      </c>
      <c r="P55">
        <f t="shared" si="7"/>
        <v>20.659999999999997</v>
      </c>
      <c r="Q55">
        <f t="shared" si="8"/>
        <v>18.529999999999998</v>
      </c>
      <c r="R55">
        <f t="shared" si="9"/>
        <v>14.27</v>
      </c>
      <c r="S55">
        <f t="shared" si="10"/>
        <v>12.139999999999999</v>
      </c>
      <c r="U55">
        <v>13.25</v>
      </c>
      <c r="V55" s="2">
        <v>9.4</v>
      </c>
      <c r="W55">
        <v>1.45</v>
      </c>
      <c r="X55">
        <f t="shared" si="11"/>
        <v>12.3</v>
      </c>
      <c r="Y55">
        <f t="shared" si="12"/>
        <v>10.85</v>
      </c>
      <c r="Z55">
        <f t="shared" si="13"/>
        <v>7.95</v>
      </c>
      <c r="AA55">
        <f t="shared" si="14"/>
        <v>6.5</v>
      </c>
      <c r="AC55">
        <v>13.3</v>
      </c>
      <c r="AD55">
        <v>15.3</v>
      </c>
      <c r="AE55">
        <v>18.2</v>
      </c>
    </row>
    <row r="56" spans="1:31" x14ac:dyDescent="0.15">
      <c r="A56">
        <f t="shared" si="15"/>
        <v>4</v>
      </c>
      <c r="B56" s="2">
        <v>6</v>
      </c>
      <c r="C56" s="3">
        <f t="shared" si="6"/>
        <v>4.5</v>
      </c>
      <c r="E56">
        <v>103.5</v>
      </c>
      <c r="F56">
        <v>4.0999999999999996</v>
      </c>
      <c r="G56">
        <f t="shared" si="0"/>
        <v>111.7</v>
      </c>
      <c r="H56">
        <f t="shared" si="1"/>
        <v>107.6</v>
      </c>
      <c r="I56">
        <f t="shared" si="2"/>
        <v>99.4</v>
      </c>
      <c r="J56">
        <f t="shared" si="3"/>
        <v>95.3</v>
      </c>
      <c r="K56">
        <f t="shared" si="4"/>
        <v>93.25</v>
      </c>
      <c r="L56">
        <f t="shared" si="5"/>
        <v>91.2</v>
      </c>
      <c r="N56">
        <v>16.600000000000001</v>
      </c>
      <c r="O56">
        <v>2.15</v>
      </c>
      <c r="P56">
        <f t="shared" si="7"/>
        <v>20.900000000000002</v>
      </c>
      <c r="Q56">
        <f t="shared" si="8"/>
        <v>18.75</v>
      </c>
      <c r="R56">
        <f t="shared" si="9"/>
        <v>14.450000000000001</v>
      </c>
      <c r="S56">
        <f t="shared" si="10"/>
        <v>12.3</v>
      </c>
      <c r="U56">
        <v>13.5</v>
      </c>
      <c r="V56" s="2">
        <v>8.6999999999999993</v>
      </c>
      <c r="W56">
        <v>1.23</v>
      </c>
      <c r="X56">
        <f t="shared" si="11"/>
        <v>11.16</v>
      </c>
      <c r="Y56">
        <f t="shared" si="12"/>
        <v>9.93</v>
      </c>
      <c r="Z56">
        <f t="shared" si="13"/>
        <v>7.4699999999999989</v>
      </c>
      <c r="AA56">
        <f t="shared" si="14"/>
        <v>6.2399999999999993</v>
      </c>
      <c r="AC56">
        <v>13.3</v>
      </c>
      <c r="AD56">
        <v>15.3</v>
      </c>
      <c r="AE56">
        <v>18.2</v>
      </c>
    </row>
    <row r="57" spans="1:31" x14ac:dyDescent="0.15">
      <c r="A57">
        <f t="shared" si="15"/>
        <v>4</v>
      </c>
      <c r="B57" s="2">
        <v>7</v>
      </c>
      <c r="C57" s="3">
        <f t="shared" si="6"/>
        <v>4.583333333333333</v>
      </c>
      <c r="E57">
        <v>104</v>
      </c>
      <c r="F57">
        <v>4.0999999999999996</v>
      </c>
      <c r="G57">
        <f t="shared" si="0"/>
        <v>112.2</v>
      </c>
      <c r="H57">
        <f t="shared" si="1"/>
        <v>108.1</v>
      </c>
      <c r="I57">
        <f t="shared" si="2"/>
        <v>99.9</v>
      </c>
      <c r="J57">
        <f t="shared" si="3"/>
        <v>95.8</v>
      </c>
      <c r="K57">
        <f t="shared" si="4"/>
        <v>93.75</v>
      </c>
      <c r="L57">
        <f t="shared" si="5"/>
        <v>91.7</v>
      </c>
      <c r="N57">
        <v>16.7</v>
      </c>
      <c r="O57">
        <v>2.16</v>
      </c>
      <c r="P57">
        <f t="shared" si="7"/>
        <v>21.02</v>
      </c>
      <c r="Q57">
        <f t="shared" si="8"/>
        <v>18.86</v>
      </c>
      <c r="R57">
        <f t="shared" si="9"/>
        <v>14.54</v>
      </c>
      <c r="S57">
        <f t="shared" si="10"/>
        <v>12.379999999999999</v>
      </c>
      <c r="U57">
        <v>13.75</v>
      </c>
      <c r="V57" s="2">
        <v>7.6</v>
      </c>
      <c r="W57">
        <v>1.01</v>
      </c>
      <c r="X57">
        <f t="shared" si="11"/>
        <v>9.6199999999999992</v>
      </c>
      <c r="Y57">
        <f t="shared" si="12"/>
        <v>8.61</v>
      </c>
      <c r="Z57">
        <f t="shared" si="13"/>
        <v>6.59</v>
      </c>
      <c r="AA57">
        <f t="shared" si="14"/>
        <v>5.58</v>
      </c>
      <c r="AC57">
        <v>13.3</v>
      </c>
      <c r="AD57">
        <v>15.3</v>
      </c>
      <c r="AE57">
        <v>18.3</v>
      </c>
    </row>
    <row r="58" spans="1:31" x14ac:dyDescent="0.15">
      <c r="A58">
        <f t="shared" si="15"/>
        <v>4</v>
      </c>
      <c r="B58" s="2">
        <v>8</v>
      </c>
      <c r="C58" s="3">
        <f t="shared" si="6"/>
        <v>4.666666666666667</v>
      </c>
      <c r="E58">
        <v>104.6</v>
      </c>
      <c r="F58">
        <v>4.2</v>
      </c>
      <c r="G58">
        <f t="shared" si="0"/>
        <v>113</v>
      </c>
      <c r="H58">
        <f t="shared" si="1"/>
        <v>108.8</v>
      </c>
      <c r="I58">
        <f t="shared" si="2"/>
        <v>100.39999999999999</v>
      </c>
      <c r="J58">
        <f t="shared" si="3"/>
        <v>96.199999999999989</v>
      </c>
      <c r="K58">
        <f t="shared" si="4"/>
        <v>94.1</v>
      </c>
      <c r="L58">
        <f t="shared" si="5"/>
        <v>92</v>
      </c>
      <c r="N58">
        <v>16.899999999999999</v>
      </c>
      <c r="O58">
        <v>2.17</v>
      </c>
      <c r="P58">
        <f t="shared" si="7"/>
        <v>21.24</v>
      </c>
      <c r="Q58">
        <f t="shared" si="8"/>
        <v>19.07</v>
      </c>
      <c r="R58">
        <f t="shared" si="9"/>
        <v>14.729999999999999</v>
      </c>
      <c r="S58">
        <f t="shared" si="10"/>
        <v>12.559999999999999</v>
      </c>
      <c r="U58">
        <v>14</v>
      </c>
      <c r="V58" s="2">
        <v>6.3</v>
      </c>
      <c r="W58">
        <v>0.88</v>
      </c>
      <c r="X58">
        <f t="shared" si="11"/>
        <v>8.06</v>
      </c>
      <c r="Y58">
        <f t="shared" si="12"/>
        <v>7.18</v>
      </c>
      <c r="Z58">
        <f t="shared" si="13"/>
        <v>5.42</v>
      </c>
      <c r="AA58">
        <f t="shared" si="14"/>
        <v>4.54</v>
      </c>
      <c r="AC58">
        <v>13.3</v>
      </c>
      <c r="AD58">
        <v>15.3</v>
      </c>
      <c r="AE58">
        <v>18.3</v>
      </c>
    </row>
    <row r="59" spans="1:31" x14ac:dyDescent="0.15">
      <c r="A59">
        <f t="shared" si="15"/>
        <v>4</v>
      </c>
      <c r="B59" s="2">
        <v>9</v>
      </c>
      <c r="C59" s="3">
        <f t="shared" si="6"/>
        <v>4.75</v>
      </c>
      <c r="E59">
        <v>105.1</v>
      </c>
      <c r="F59">
        <v>4.2</v>
      </c>
      <c r="G59">
        <f t="shared" si="0"/>
        <v>113.5</v>
      </c>
      <c r="H59">
        <f t="shared" si="1"/>
        <v>109.3</v>
      </c>
      <c r="I59">
        <f t="shared" si="2"/>
        <v>100.89999999999999</v>
      </c>
      <c r="J59">
        <f t="shared" si="3"/>
        <v>96.699999999999989</v>
      </c>
      <c r="K59">
        <f t="shared" si="4"/>
        <v>94.6</v>
      </c>
      <c r="L59">
        <f t="shared" si="5"/>
        <v>92.5</v>
      </c>
      <c r="N59">
        <v>17</v>
      </c>
      <c r="O59">
        <v>2.1800000000000002</v>
      </c>
      <c r="P59">
        <f t="shared" si="7"/>
        <v>21.36</v>
      </c>
      <c r="Q59">
        <f t="shared" si="8"/>
        <v>19.18</v>
      </c>
      <c r="R59">
        <f t="shared" si="9"/>
        <v>14.82</v>
      </c>
      <c r="S59">
        <f t="shared" si="10"/>
        <v>12.64</v>
      </c>
      <c r="U59">
        <v>14.25</v>
      </c>
      <c r="V59" s="2">
        <v>5.3</v>
      </c>
      <c r="W59">
        <v>0.8</v>
      </c>
      <c r="X59">
        <f t="shared" si="11"/>
        <v>6.9</v>
      </c>
      <c r="Y59">
        <f t="shared" si="12"/>
        <v>6.1</v>
      </c>
      <c r="Z59">
        <f t="shared" si="13"/>
        <v>4.5</v>
      </c>
      <c r="AA59">
        <f t="shared" si="14"/>
        <v>3.6999999999999997</v>
      </c>
      <c r="AC59">
        <v>13.3</v>
      </c>
      <c r="AD59">
        <v>15.3</v>
      </c>
      <c r="AE59">
        <v>18.399999999999999</v>
      </c>
    </row>
    <row r="60" spans="1:31" x14ac:dyDescent="0.15">
      <c r="A60">
        <f t="shared" si="15"/>
        <v>4</v>
      </c>
      <c r="B60" s="2">
        <v>10</v>
      </c>
      <c r="C60" s="3">
        <f t="shared" si="6"/>
        <v>4.833333333333333</v>
      </c>
      <c r="E60">
        <v>105.6</v>
      </c>
      <c r="F60">
        <v>4.3</v>
      </c>
      <c r="G60">
        <f t="shared" si="0"/>
        <v>114.19999999999999</v>
      </c>
      <c r="H60">
        <f t="shared" si="1"/>
        <v>109.89999999999999</v>
      </c>
      <c r="I60">
        <f t="shared" si="2"/>
        <v>101.3</v>
      </c>
      <c r="J60">
        <f t="shared" si="3"/>
        <v>97</v>
      </c>
      <c r="K60">
        <f t="shared" si="4"/>
        <v>94.85</v>
      </c>
      <c r="L60">
        <f t="shared" si="5"/>
        <v>92.699999999999989</v>
      </c>
      <c r="N60">
        <v>17.3</v>
      </c>
      <c r="O60">
        <v>2.2999999999999998</v>
      </c>
      <c r="P60">
        <f t="shared" si="7"/>
        <v>21.9</v>
      </c>
      <c r="Q60">
        <f t="shared" si="8"/>
        <v>19.600000000000001</v>
      </c>
      <c r="R60">
        <f t="shared" si="9"/>
        <v>15</v>
      </c>
      <c r="S60">
        <f t="shared" si="10"/>
        <v>12.700000000000001</v>
      </c>
      <c r="U60">
        <v>14.5</v>
      </c>
      <c r="V60" s="2">
        <v>4.5</v>
      </c>
      <c r="W60">
        <v>0.78</v>
      </c>
      <c r="X60">
        <f t="shared" si="11"/>
        <v>6.0600000000000005</v>
      </c>
      <c r="Y60">
        <f t="shared" si="12"/>
        <v>5.28</v>
      </c>
      <c r="Z60">
        <f t="shared" si="13"/>
        <v>3.7199999999999998</v>
      </c>
      <c r="AA60">
        <f t="shared" si="14"/>
        <v>2.94</v>
      </c>
      <c r="AC60">
        <v>13.3</v>
      </c>
      <c r="AD60">
        <v>15.3</v>
      </c>
      <c r="AE60">
        <v>18.399999999999999</v>
      </c>
    </row>
    <row r="61" spans="1:31" x14ac:dyDescent="0.15">
      <c r="A61">
        <f t="shared" si="15"/>
        <v>4</v>
      </c>
      <c r="B61" s="2">
        <v>11</v>
      </c>
      <c r="C61" s="3">
        <f t="shared" si="6"/>
        <v>4.916666666666667</v>
      </c>
      <c r="E61">
        <v>106.2</v>
      </c>
      <c r="F61">
        <v>4.3</v>
      </c>
      <c r="G61">
        <f t="shared" si="0"/>
        <v>114.8</v>
      </c>
      <c r="H61">
        <f t="shared" si="1"/>
        <v>110.5</v>
      </c>
      <c r="I61">
        <f t="shared" si="2"/>
        <v>101.9</v>
      </c>
      <c r="J61">
        <f t="shared" si="3"/>
        <v>97.600000000000009</v>
      </c>
      <c r="K61">
        <f t="shared" si="4"/>
        <v>95.45</v>
      </c>
      <c r="L61">
        <f t="shared" si="5"/>
        <v>93.300000000000011</v>
      </c>
      <c r="N61">
        <v>17.5</v>
      </c>
      <c r="O61">
        <v>2.41</v>
      </c>
      <c r="P61">
        <f t="shared" si="7"/>
        <v>22.32</v>
      </c>
      <c r="Q61">
        <f t="shared" si="8"/>
        <v>19.91</v>
      </c>
      <c r="R61">
        <f t="shared" si="9"/>
        <v>15.09</v>
      </c>
      <c r="S61">
        <f t="shared" si="10"/>
        <v>12.68</v>
      </c>
      <c r="U61">
        <v>14.75</v>
      </c>
      <c r="V61" s="2">
        <v>3.9</v>
      </c>
      <c r="W61">
        <v>0.71</v>
      </c>
      <c r="X61">
        <f t="shared" si="11"/>
        <v>5.32</v>
      </c>
      <c r="Y61">
        <f t="shared" si="12"/>
        <v>4.6099999999999994</v>
      </c>
      <c r="Z61">
        <f t="shared" si="13"/>
        <v>3.19</v>
      </c>
      <c r="AA61">
        <f t="shared" si="14"/>
        <v>2.48</v>
      </c>
      <c r="AC61">
        <v>13.3</v>
      </c>
      <c r="AD61">
        <v>15.3</v>
      </c>
      <c r="AE61">
        <v>18.399999999999999</v>
      </c>
    </row>
    <row r="62" spans="1:31" x14ac:dyDescent="0.15">
      <c r="A62">
        <f t="shared" si="15"/>
        <v>5</v>
      </c>
      <c r="B62" s="2">
        <v>0</v>
      </c>
      <c r="C62" s="3">
        <f t="shared" si="6"/>
        <v>5</v>
      </c>
      <c r="E62">
        <v>106.7</v>
      </c>
      <c r="F62">
        <v>4.3</v>
      </c>
      <c r="G62">
        <f t="shared" si="0"/>
        <v>115.3</v>
      </c>
      <c r="H62">
        <f t="shared" si="1"/>
        <v>111</v>
      </c>
      <c r="I62">
        <f t="shared" si="2"/>
        <v>102.4</v>
      </c>
      <c r="J62">
        <f t="shared" si="3"/>
        <v>98.100000000000009</v>
      </c>
      <c r="K62">
        <f t="shared" si="4"/>
        <v>95.95</v>
      </c>
      <c r="L62">
        <f t="shared" si="5"/>
        <v>93.800000000000011</v>
      </c>
      <c r="N62">
        <v>17.7</v>
      </c>
      <c r="O62">
        <v>2.5299999999999998</v>
      </c>
      <c r="P62">
        <f t="shared" si="7"/>
        <v>22.759999999999998</v>
      </c>
      <c r="Q62">
        <f t="shared" si="8"/>
        <v>20.23</v>
      </c>
      <c r="R62">
        <f t="shared" si="9"/>
        <v>15.17</v>
      </c>
      <c r="S62">
        <f t="shared" si="10"/>
        <v>12.64</v>
      </c>
      <c r="U62">
        <v>15</v>
      </c>
      <c r="V62" s="2">
        <v>3.3</v>
      </c>
      <c r="W62">
        <v>0.69</v>
      </c>
      <c r="X62">
        <f t="shared" si="11"/>
        <v>4.68</v>
      </c>
      <c r="Y62">
        <f t="shared" si="12"/>
        <v>3.9899999999999998</v>
      </c>
      <c r="Z62">
        <f t="shared" si="13"/>
        <v>2.61</v>
      </c>
      <c r="AA62">
        <f t="shared" si="14"/>
        <v>1.92</v>
      </c>
      <c r="AC62">
        <v>13.3</v>
      </c>
      <c r="AD62">
        <v>15.3</v>
      </c>
      <c r="AE62">
        <v>18.5</v>
      </c>
    </row>
    <row r="63" spans="1:31" x14ac:dyDescent="0.15">
      <c r="A63">
        <f t="shared" si="15"/>
        <v>5</v>
      </c>
      <c r="B63" s="2">
        <v>1</v>
      </c>
      <c r="C63" s="3">
        <f t="shared" si="6"/>
        <v>5.083333333333333</v>
      </c>
      <c r="E63">
        <v>107.3</v>
      </c>
      <c r="F63">
        <v>4.4000000000000004</v>
      </c>
      <c r="G63">
        <f t="shared" si="0"/>
        <v>116.1</v>
      </c>
      <c r="H63">
        <f t="shared" si="1"/>
        <v>111.7</v>
      </c>
      <c r="I63">
        <f t="shared" si="2"/>
        <v>102.89999999999999</v>
      </c>
      <c r="J63">
        <f t="shared" si="3"/>
        <v>98.5</v>
      </c>
      <c r="K63">
        <f t="shared" si="4"/>
        <v>96.3</v>
      </c>
      <c r="L63">
        <f t="shared" si="5"/>
        <v>94.1</v>
      </c>
      <c r="N63">
        <v>17.899999999999999</v>
      </c>
      <c r="O63">
        <v>2.64</v>
      </c>
      <c r="P63">
        <f t="shared" si="7"/>
        <v>23.18</v>
      </c>
      <c r="Q63">
        <f t="shared" si="8"/>
        <v>20.54</v>
      </c>
      <c r="R63">
        <f t="shared" si="9"/>
        <v>15.259999999999998</v>
      </c>
      <c r="S63">
        <f t="shared" si="10"/>
        <v>12.619999999999997</v>
      </c>
      <c r="U63">
        <v>15.25</v>
      </c>
      <c r="V63" s="2">
        <v>2.8</v>
      </c>
      <c r="W63">
        <v>0.68</v>
      </c>
      <c r="X63">
        <f t="shared" si="11"/>
        <v>4.16</v>
      </c>
      <c r="Y63">
        <f t="shared" si="12"/>
        <v>3.48</v>
      </c>
      <c r="Z63">
        <f t="shared" si="13"/>
        <v>2.1199999999999997</v>
      </c>
      <c r="AA63">
        <f t="shared" si="14"/>
        <v>1.4399999999999997</v>
      </c>
      <c r="AC63">
        <v>13.3</v>
      </c>
      <c r="AD63">
        <v>15.3</v>
      </c>
      <c r="AE63">
        <v>18.5</v>
      </c>
    </row>
    <row r="64" spans="1:31" x14ac:dyDescent="0.15">
      <c r="A64">
        <f t="shared" si="15"/>
        <v>5</v>
      </c>
      <c r="B64" s="2">
        <v>2</v>
      </c>
      <c r="C64" s="3">
        <f t="shared" si="6"/>
        <v>5.166666666666667</v>
      </c>
      <c r="E64">
        <v>107.8</v>
      </c>
      <c r="F64">
        <v>4.4000000000000004</v>
      </c>
      <c r="G64">
        <f t="shared" si="0"/>
        <v>116.6</v>
      </c>
      <c r="H64">
        <f t="shared" si="1"/>
        <v>112.2</v>
      </c>
      <c r="I64">
        <f t="shared" si="2"/>
        <v>103.39999999999999</v>
      </c>
      <c r="J64">
        <f t="shared" si="3"/>
        <v>99</v>
      </c>
      <c r="K64">
        <f t="shared" si="4"/>
        <v>96.8</v>
      </c>
      <c r="L64">
        <f t="shared" si="5"/>
        <v>94.6</v>
      </c>
      <c r="N64">
        <v>18.100000000000001</v>
      </c>
      <c r="O64">
        <v>2.76</v>
      </c>
      <c r="P64">
        <f t="shared" si="7"/>
        <v>23.62</v>
      </c>
      <c r="Q64">
        <f t="shared" si="8"/>
        <v>20.86</v>
      </c>
      <c r="R64">
        <f t="shared" si="9"/>
        <v>15.340000000000002</v>
      </c>
      <c r="S64">
        <f t="shared" si="10"/>
        <v>12.580000000000002</v>
      </c>
      <c r="U64">
        <v>15.5</v>
      </c>
      <c r="V64" s="2">
        <v>2.2999999999999998</v>
      </c>
      <c r="W64">
        <v>0.63</v>
      </c>
      <c r="X64">
        <f t="shared" si="11"/>
        <v>3.5599999999999996</v>
      </c>
      <c r="Y64">
        <f t="shared" si="12"/>
        <v>2.9299999999999997</v>
      </c>
      <c r="Z64">
        <f t="shared" si="13"/>
        <v>1.67</v>
      </c>
      <c r="AA64">
        <f t="shared" si="14"/>
        <v>1.0399999999999998</v>
      </c>
      <c r="AC64">
        <v>13.3</v>
      </c>
      <c r="AD64">
        <v>15.3</v>
      </c>
      <c r="AE64">
        <v>18.600000000000001</v>
      </c>
    </row>
    <row r="65" spans="1:31" x14ac:dyDescent="0.15">
      <c r="A65">
        <f t="shared" si="15"/>
        <v>5</v>
      </c>
      <c r="B65" s="2">
        <v>3</v>
      </c>
      <c r="C65" s="3">
        <f t="shared" si="6"/>
        <v>5.25</v>
      </c>
      <c r="E65">
        <v>108.3</v>
      </c>
      <c r="F65">
        <v>4.4000000000000004</v>
      </c>
      <c r="G65">
        <f t="shared" si="0"/>
        <v>117.1</v>
      </c>
      <c r="H65">
        <f t="shared" si="1"/>
        <v>112.7</v>
      </c>
      <c r="I65">
        <f t="shared" si="2"/>
        <v>103.89999999999999</v>
      </c>
      <c r="J65">
        <f t="shared" si="3"/>
        <v>99.5</v>
      </c>
      <c r="K65">
        <f t="shared" si="4"/>
        <v>97.3</v>
      </c>
      <c r="L65">
        <f t="shared" si="5"/>
        <v>95.1</v>
      </c>
      <c r="N65">
        <v>18.3</v>
      </c>
      <c r="O65">
        <v>2.87</v>
      </c>
      <c r="P65">
        <f t="shared" si="7"/>
        <v>24.04</v>
      </c>
      <c r="Q65">
        <f t="shared" si="8"/>
        <v>21.17</v>
      </c>
      <c r="R65">
        <f t="shared" si="9"/>
        <v>15.43</v>
      </c>
      <c r="S65">
        <f t="shared" si="10"/>
        <v>12.56</v>
      </c>
      <c r="U65">
        <v>15.75</v>
      </c>
      <c r="V65" s="2">
        <v>1.9</v>
      </c>
      <c r="W65">
        <v>0.57999999999999996</v>
      </c>
      <c r="X65">
        <f t="shared" si="11"/>
        <v>3.0599999999999996</v>
      </c>
      <c r="Y65">
        <f t="shared" si="12"/>
        <v>2.48</v>
      </c>
      <c r="Z65">
        <f t="shared" si="13"/>
        <v>1.3199999999999998</v>
      </c>
      <c r="AA65">
        <f t="shared" si="14"/>
        <v>0.74</v>
      </c>
      <c r="AC65">
        <v>13.3</v>
      </c>
      <c r="AD65">
        <v>15.3</v>
      </c>
      <c r="AE65">
        <v>18.7</v>
      </c>
    </row>
    <row r="66" spans="1:31" x14ac:dyDescent="0.15">
      <c r="A66">
        <f t="shared" si="15"/>
        <v>5</v>
      </c>
      <c r="B66" s="2">
        <v>4</v>
      </c>
      <c r="C66" s="3">
        <f t="shared" si="6"/>
        <v>5.333333333333333</v>
      </c>
      <c r="E66">
        <v>108.9</v>
      </c>
      <c r="F66">
        <v>4.5</v>
      </c>
      <c r="G66">
        <f t="shared" ref="G66:G129" si="16">$E66+2*$F66</f>
        <v>117.9</v>
      </c>
      <c r="H66">
        <f t="shared" ref="H66:H129" si="17">$E66+$F66</f>
        <v>113.4</v>
      </c>
      <c r="I66">
        <f t="shared" ref="I66:I129" si="18">$E66-$F66</f>
        <v>104.4</v>
      </c>
      <c r="J66">
        <f t="shared" ref="J66:J129" si="19">$E66-2*$F66</f>
        <v>99.9</v>
      </c>
      <c r="K66">
        <f t="shared" ref="K66:K129" si="20">$E66-2.5*$F66</f>
        <v>97.65</v>
      </c>
      <c r="L66">
        <f t="shared" ref="L66:L129" si="21">$E66-3*$F66</f>
        <v>95.4</v>
      </c>
      <c r="N66">
        <v>18.5</v>
      </c>
      <c r="O66">
        <v>2.9</v>
      </c>
      <c r="P66">
        <f t="shared" si="7"/>
        <v>24.3</v>
      </c>
      <c r="Q66">
        <f t="shared" si="8"/>
        <v>21.4</v>
      </c>
      <c r="R66">
        <f t="shared" si="9"/>
        <v>15.6</v>
      </c>
      <c r="S66">
        <f t="shared" si="10"/>
        <v>12.7</v>
      </c>
      <c r="U66">
        <v>16</v>
      </c>
      <c r="V66" s="2">
        <v>1.6</v>
      </c>
      <c r="W66">
        <v>0.53</v>
      </c>
      <c r="X66">
        <f t="shared" si="11"/>
        <v>2.66</v>
      </c>
      <c r="Y66">
        <f t="shared" si="12"/>
        <v>2.13</v>
      </c>
      <c r="Z66">
        <f t="shared" si="13"/>
        <v>1.07</v>
      </c>
      <c r="AA66">
        <f t="shared" si="14"/>
        <v>0.54</v>
      </c>
      <c r="AC66">
        <v>13.3</v>
      </c>
      <c r="AD66">
        <v>15.3</v>
      </c>
      <c r="AE66">
        <v>18.7</v>
      </c>
    </row>
    <row r="67" spans="1:31" x14ac:dyDescent="0.15">
      <c r="A67">
        <f t="shared" si="15"/>
        <v>5</v>
      </c>
      <c r="B67" s="2">
        <v>5</v>
      </c>
      <c r="C67" s="3">
        <f t="shared" ref="C67:C130" si="22">A67+B67/12</f>
        <v>5.416666666666667</v>
      </c>
      <c r="E67">
        <v>109.4</v>
      </c>
      <c r="F67">
        <v>4.5</v>
      </c>
      <c r="G67">
        <f t="shared" si="16"/>
        <v>118.4</v>
      </c>
      <c r="H67">
        <f t="shared" si="17"/>
        <v>113.9</v>
      </c>
      <c r="I67">
        <f t="shared" si="18"/>
        <v>104.9</v>
      </c>
      <c r="J67">
        <f t="shared" si="19"/>
        <v>100.4</v>
      </c>
      <c r="K67">
        <f t="shared" si="20"/>
        <v>98.15</v>
      </c>
      <c r="L67">
        <f t="shared" si="21"/>
        <v>95.9</v>
      </c>
      <c r="N67">
        <v>18.7</v>
      </c>
      <c r="O67">
        <v>2.93</v>
      </c>
      <c r="P67">
        <f t="shared" ref="P67:P130" si="23">$N67+2*$O67</f>
        <v>24.56</v>
      </c>
      <c r="Q67">
        <f t="shared" ref="Q67:Q130" si="24">$N67+$O67</f>
        <v>21.63</v>
      </c>
      <c r="R67">
        <f t="shared" ref="R67:R130" si="25">$N67-$O67</f>
        <v>15.77</v>
      </c>
      <c r="S67">
        <f t="shared" ref="S67:S130" si="26">$N67-2*$O67</f>
        <v>12.84</v>
      </c>
      <c r="U67">
        <v>16.25</v>
      </c>
      <c r="V67" s="2">
        <v>1.3</v>
      </c>
      <c r="W67">
        <v>0.49</v>
      </c>
      <c r="X67">
        <f t="shared" si="11"/>
        <v>2.2800000000000002</v>
      </c>
      <c r="Y67">
        <f t="shared" si="12"/>
        <v>1.79</v>
      </c>
      <c r="Z67">
        <f t="shared" si="13"/>
        <v>0.81</v>
      </c>
      <c r="AA67">
        <f t="shared" si="14"/>
        <v>0.32000000000000006</v>
      </c>
      <c r="AC67">
        <v>13.3</v>
      </c>
      <c r="AD67">
        <v>15.4</v>
      </c>
      <c r="AE67">
        <v>18.8</v>
      </c>
    </row>
    <row r="68" spans="1:31" x14ac:dyDescent="0.15">
      <c r="A68">
        <f t="shared" si="15"/>
        <v>5</v>
      </c>
      <c r="B68" s="2">
        <v>6</v>
      </c>
      <c r="C68" s="3">
        <f t="shared" si="22"/>
        <v>5.5</v>
      </c>
      <c r="E68">
        <v>110</v>
      </c>
      <c r="F68">
        <v>4.5</v>
      </c>
      <c r="G68">
        <f t="shared" si="16"/>
        <v>119</v>
      </c>
      <c r="H68">
        <f t="shared" si="17"/>
        <v>114.5</v>
      </c>
      <c r="I68">
        <f t="shared" si="18"/>
        <v>105.5</v>
      </c>
      <c r="J68">
        <f t="shared" si="19"/>
        <v>101</v>
      </c>
      <c r="K68">
        <f t="shared" si="20"/>
        <v>98.75</v>
      </c>
      <c r="L68">
        <f t="shared" si="21"/>
        <v>96.5</v>
      </c>
      <c r="N68">
        <v>18.899999999999999</v>
      </c>
      <c r="O68">
        <v>2.96</v>
      </c>
      <c r="P68">
        <f t="shared" si="23"/>
        <v>24.82</v>
      </c>
      <c r="Q68">
        <f t="shared" si="24"/>
        <v>21.86</v>
      </c>
      <c r="R68">
        <f t="shared" si="25"/>
        <v>15.939999999999998</v>
      </c>
      <c r="S68">
        <f t="shared" si="26"/>
        <v>12.979999999999999</v>
      </c>
      <c r="U68">
        <v>16.5</v>
      </c>
      <c r="V68" s="2">
        <v>1</v>
      </c>
      <c r="W68">
        <v>0.44</v>
      </c>
      <c r="X68">
        <f t="shared" si="11"/>
        <v>1.88</v>
      </c>
      <c r="Y68">
        <f t="shared" si="12"/>
        <v>1.44</v>
      </c>
      <c r="Z68">
        <f t="shared" si="13"/>
        <v>0.56000000000000005</v>
      </c>
      <c r="AA68">
        <f t="shared" si="14"/>
        <v>0.12</v>
      </c>
      <c r="AC68">
        <v>13.3</v>
      </c>
      <c r="AD68">
        <v>15.4</v>
      </c>
      <c r="AE68">
        <v>18.8</v>
      </c>
    </row>
    <row r="69" spans="1:31" x14ac:dyDescent="0.15">
      <c r="A69">
        <f t="shared" si="15"/>
        <v>5</v>
      </c>
      <c r="B69" s="2">
        <v>7</v>
      </c>
      <c r="C69" s="3">
        <f t="shared" si="22"/>
        <v>5.583333333333333</v>
      </c>
      <c r="E69">
        <v>110.5</v>
      </c>
      <c r="F69">
        <v>4.5999999999999996</v>
      </c>
      <c r="G69">
        <f t="shared" si="16"/>
        <v>119.7</v>
      </c>
      <c r="H69">
        <f t="shared" si="17"/>
        <v>115.1</v>
      </c>
      <c r="I69">
        <f t="shared" si="18"/>
        <v>105.9</v>
      </c>
      <c r="J69">
        <f t="shared" si="19"/>
        <v>101.3</v>
      </c>
      <c r="K69">
        <f t="shared" si="20"/>
        <v>99</v>
      </c>
      <c r="L69">
        <f t="shared" si="21"/>
        <v>96.7</v>
      </c>
      <c r="N69">
        <v>19.100000000000001</v>
      </c>
      <c r="O69">
        <v>2.98</v>
      </c>
      <c r="P69">
        <f t="shared" si="23"/>
        <v>25.060000000000002</v>
      </c>
      <c r="Q69">
        <f t="shared" si="24"/>
        <v>22.080000000000002</v>
      </c>
      <c r="R69">
        <f t="shared" si="25"/>
        <v>16.12</v>
      </c>
      <c r="S69">
        <f t="shared" si="26"/>
        <v>13.14</v>
      </c>
      <c r="U69">
        <v>16.75</v>
      </c>
      <c r="V69" s="2">
        <v>0.8</v>
      </c>
      <c r="W69">
        <v>0.39</v>
      </c>
      <c r="X69">
        <f t="shared" si="11"/>
        <v>1.58</v>
      </c>
      <c r="Y69">
        <f t="shared" si="12"/>
        <v>1.19</v>
      </c>
      <c r="Z69">
        <f t="shared" si="13"/>
        <v>0.41000000000000003</v>
      </c>
      <c r="AA69">
        <f t="shared" si="14"/>
        <v>2.0000000000000018E-2</v>
      </c>
      <c r="AC69">
        <v>13.3</v>
      </c>
      <c r="AD69">
        <v>15.4</v>
      </c>
      <c r="AE69">
        <v>18.899999999999999</v>
      </c>
    </row>
    <row r="70" spans="1:31" x14ac:dyDescent="0.15">
      <c r="A70">
        <f t="shared" si="15"/>
        <v>5</v>
      </c>
      <c r="B70" s="2">
        <v>8</v>
      </c>
      <c r="C70" s="3">
        <f t="shared" si="22"/>
        <v>5.666666666666667</v>
      </c>
      <c r="E70">
        <v>111.1</v>
      </c>
      <c r="F70">
        <v>4.5999999999999996</v>
      </c>
      <c r="G70">
        <f t="shared" si="16"/>
        <v>120.3</v>
      </c>
      <c r="H70">
        <f t="shared" si="17"/>
        <v>115.69999999999999</v>
      </c>
      <c r="I70">
        <f t="shared" si="18"/>
        <v>106.5</v>
      </c>
      <c r="J70">
        <f t="shared" si="19"/>
        <v>101.89999999999999</v>
      </c>
      <c r="K70">
        <f t="shared" si="20"/>
        <v>99.6</v>
      </c>
      <c r="L70">
        <f t="shared" si="21"/>
        <v>97.3</v>
      </c>
      <c r="N70">
        <v>19.3</v>
      </c>
      <c r="O70">
        <v>3.01</v>
      </c>
      <c r="P70">
        <f t="shared" si="23"/>
        <v>25.32</v>
      </c>
      <c r="Q70">
        <f t="shared" si="24"/>
        <v>22.310000000000002</v>
      </c>
      <c r="R70">
        <f t="shared" si="25"/>
        <v>16.29</v>
      </c>
      <c r="S70">
        <f t="shared" si="26"/>
        <v>13.280000000000001</v>
      </c>
      <c r="U70">
        <v>17</v>
      </c>
      <c r="V70" s="2">
        <v>0.6</v>
      </c>
      <c r="W70">
        <v>0.39</v>
      </c>
      <c r="X70">
        <f t="shared" si="11"/>
        <v>1.38</v>
      </c>
      <c r="Y70">
        <f t="shared" si="12"/>
        <v>0.99</v>
      </c>
      <c r="Z70">
        <f t="shared" si="13"/>
        <v>0.20999999999999996</v>
      </c>
      <c r="AC70">
        <v>13.3</v>
      </c>
      <c r="AD70">
        <v>15.4</v>
      </c>
      <c r="AE70">
        <v>19</v>
      </c>
    </row>
    <row r="71" spans="1:31" x14ac:dyDescent="0.15">
      <c r="A71">
        <f t="shared" si="15"/>
        <v>5</v>
      </c>
      <c r="B71" s="2">
        <v>9</v>
      </c>
      <c r="C71" s="3">
        <f t="shared" si="22"/>
        <v>5.75</v>
      </c>
      <c r="E71">
        <v>111.6</v>
      </c>
      <c r="F71">
        <v>4.7</v>
      </c>
      <c r="G71">
        <f t="shared" si="16"/>
        <v>121</v>
      </c>
      <c r="H71">
        <f t="shared" si="17"/>
        <v>116.3</v>
      </c>
      <c r="I71">
        <f t="shared" si="18"/>
        <v>106.89999999999999</v>
      </c>
      <c r="J71">
        <f t="shared" si="19"/>
        <v>102.19999999999999</v>
      </c>
      <c r="K71">
        <f t="shared" si="20"/>
        <v>99.85</v>
      </c>
      <c r="L71">
        <f t="shared" si="21"/>
        <v>97.5</v>
      </c>
      <c r="N71">
        <v>19.600000000000001</v>
      </c>
      <c r="O71">
        <v>3.04</v>
      </c>
      <c r="P71">
        <f t="shared" si="23"/>
        <v>25.68</v>
      </c>
      <c r="Q71">
        <f t="shared" si="24"/>
        <v>22.64</v>
      </c>
      <c r="R71">
        <f t="shared" si="25"/>
        <v>16.560000000000002</v>
      </c>
      <c r="S71">
        <f t="shared" si="26"/>
        <v>13.520000000000001</v>
      </c>
      <c r="U71">
        <v>17.25</v>
      </c>
      <c r="V71" s="2">
        <v>0.5</v>
      </c>
      <c r="W71">
        <v>0.38</v>
      </c>
      <c r="X71">
        <f>$V71+2*$W71</f>
        <v>1.26</v>
      </c>
      <c r="Y71">
        <f>$V71+$W71</f>
        <v>0.88</v>
      </c>
      <c r="Z71">
        <f>$V71-$W71</f>
        <v>0.12</v>
      </c>
      <c r="AC71">
        <v>13.3</v>
      </c>
      <c r="AD71">
        <v>15.4</v>
      </c>
      <c r="AE71">
        <v>19.100000000000001</v>
      </c>
    </row>
    <row r="72" spans="1:31" x14ac:dyDescent="0.15">
      <c r="A72">
        <f t="shared" si="15"/>
        <v>5</v>
      </c>
      <c r="B72" s="2">
        <v>10</v>
      </c>
      <c r="C72" s="3">
        <f t="shared" si="22"/>
        <v>5.833333333333333</v>
      </c>
      <c r="E72">
        <v>112.2</v>
      </c>
      <c r="F72">
        <v>4.7</v>
      </c>
      <c r="G72">
        <f t="shared" si="16"/>
        <v>121.60000000000001</v>
      </c>
      <c r="H72">
        <f t="shared" si="17"/>
        <v>116.9</v>
      </c>
      <c r="I72">
        <f t="shared" si="18"/>
        <v>107.5</v>
      </c>
      <c r="J72">
        <f t="shared" si="19"/>
        <v>102.8</v>
      </c>
      <c r="K72">
        <f t="shared" si="20"/>
        <v>100.45</v>
      </c>
      <c r="L72">
        <f t="shared" si="21"/>
        <v>98.1</v>
      </c>
      <c r="N72">
        <v>19.8</v>
      </c>
      <c r="O72">
        <v>3.12</v>
      </c>
      <c r="P72">
        <f t="shared" si="23"/>
        <v>26.04</v>
      </c>
      <c r="Q72">
        <f t="shared" si="24"/>
        <v>22.92</v>
      </c>
      <c r="R72">
        <f t="shared" si="25"/>
        <v>16.68</v>
      </c>
      <c r="S72">
        <f t="shared" si="26"/>
        <v>13.56</v>
      </c>
      <c r="V72" s="2">
        <v>0.3</v>
      </c>
      <c r="W72">
        <v>0.3</v>
      </c>
      <c r="X72">
        <f>$V72+2*$W72</f>
        <v>0.89999999999999991</v>
      </c>
      <c r="Y72">
        <f>$V72+$W72</f>
        <v>0.6</v>
      </c>
      <c r="Z72">
        <f>$V72-$W72</f>
        <v>0</v>
      </c>
      <c r="AC72">
        <v>13.3</v>
      </c>
      <c r="AD72">
        <v>15.4</v>
      </c>
      <c r="AE72">
        <v>19.100000000000001</v>
      </c>
    </row>
    <row r="73" spans="1:31" x14ac:dyDescent="0.15">
      <c r="A73">
        <f t="shared" si="15"/>
        <v>5</v>
      </c>
      <c r="B73" s="2">
        <v>11</v>
      </c>
      <c r="C73" s="3">
        <f t="shared" si="22"/>
        <v>5.916666666666667</v>
      </c>
      <c r="E73">
        <v>112.7</v>
      </c>
      <c r="F73">
        <v>4.7</v>
      </c>
      <c r="G73">
        <f t="shared" si="16"/>
        <v>122.10000000000001</v>
      </c>
      <c r="H73">
        <f t="shared" si="17"/>
        <v>117.4</v>
      </c>
      <c r="I73">
        <f t="shared" si="18"/>
        <v>108</v>
      </c>
      <c r="J73">
        <f t="shared" si="19"/>
        <v>103.3</v>
      </c>
      <c r="K73">
        <f t="shared" si="20"/>
        <v>100.95</v>
      </c>
      <c r="L73">
        <f t="shared" si="21"/>
        <v>98.6</v>
      </c>
      <c r="N73">
        <v>20.100000000000001</v>
      </c>
      <c r="O73">
        <v>3.2</v>
      </c>
      <c r="P73">
        <f t="shared" si="23"/>
        <v>26.5</v>
      </c>
      <c r="Q73">
        <f t="shared" si="24"/>
        <v>23.3</v>
      </c>
      <c r="R73">
        <f t="shared" si="25"/>
        <v>16.900000000000002</v>
      </c>
      <c r="S73">
        <f t="shared" si="26"/>
        <v>13.700000000000001</v>
      </c>
      <c r="AC73">
        <v>13.3</v>
      </c>
      <c r="AD73">
        <v>15.4</v>
      </c>
      <c r="AE73">
        <v>19.2</v>
      </c>
    </row>
    <row r="74" spans="1:31" x14ac:dyDescent="0.15">
      <c r="A74">
        <f t="shared" si="15"/>
        <v>6</v>
      </c>
      <c r="B74" s="2">
        <v>0</v>
      </c>
      <c r="C74" s="3">
        <f t="shared" si="22"/>
        <v>6</v>
      </c>
      <c r="E74">
        <v>113.3</v>
      </c>
      <c r="F74">
        <v>4.8</v>
      </c>
      <c r="G74">
        <f t="shared" si="16"/>
        <v>122.89999999999999</v>
      </c>
      <c r="H74">
        <f t="shared" si="17"/>
        <v>118.1</v>
      </c>
      <c r="I74">
        <f t="shared" si="18"/>
        <v>108.5</v>
      </c>
      <c r="J74">
        <f t="shared" si="19"/>
        <v>103.7</v>
      </c>
      <c r="K74">
        <f t="shared" si="20"/>
        <v>101.3</v>
      </c>
      <c r="L74">
        <f t="shared" si="21"/>
        <v>98.9</v>
      </c>
      <c r="N74">
        <v>20.3</v>
      </c>
      <c r="O74">
        <v>3.29</v>
      </c>
      <c r="P74">
        <f t="shared" si="23"/>
        <v>26.880000000000003</v>
      </c>
      <c r="Q74">
        <f t="shared" si="24"/>
        <v>23.59</v>
      </c>
      <c r="R74">
        <f t="shared" si="25"/>
        <v>17.010000000000002</v>
      </c>
      <c r="S74">
        <f t="shared" si="26"/>
        <v>13.72</v>
      </c>
      <c r="AC74">
        <v>13.3</v>
      </c>
      <c r="AD74">
        <v>15.4</v>
      </c>
      <c r="AE74">
        <v>19.3</v>
      </c>
    </row>
    <row r="75" spans="1:31" x14ac:dyDescent="0.15">
      <c r="A75">
        <f t="shared" si="15"/>
        <v>6</v>
      </c>
      <c r="B75" s="2">
        <v>1</v>
      </c>
      <c r="C75" s="3">
        <f t="shared" si="22"/>
        <v>6.083333333333333</v>
      </c>
      <c r="E75">
        <v>113.9</v>
      </c>
      <c r="F75">
        <v>4.8</v>
      </c>
      <c r="G75">
        <f t="shared" si="16"/>
        <v>123.5</v>
      </c>
      <c r="H75">
        <f t="shared" si="17"/>
        <v>118.7</v>
      </c>
      <c r="I75">
        <f t="shared" si="18"/>
        <v>109.10000000000001</v>
      </c>
      <c r="J75">
        <f t="shared" si="19"/>
        <v>104.30000000000001</v>
      </c>
      <c r="K75">
        <f t="shared" si="20"/>
        <v>101.9</v>
      </c>
      <c r="L75">
        <f t="shared" si="21"/>
        <v>99.5</v>
      </c>
      <c r="N75">
        <v>20.6</v>
      </c>
      <c r="O75">
        <v>3.37</v>
      </c>
      <c r="P75">
        <f t="shared" si="23"/>
        <v>27.340000000000003</v>
      </c>
      <c r="Q75">
        <f t="shared" si="24"/>
        <v>23.970000000000002</v>
      </c>
      <c r="R75">
        <f t="shared" si="25"/>
        <v>17.23</v>
      </c>
      <c r="S75">
        <f t="shared" si="26"/>
        <v>13.860000000000001</v>
      </c>
      <c r="AC75">
        <v>13.3</v>
      </c>
      <c r="AD75">
        <v>15.4</v>
      </c>
      <c r="AE75">
        <v>19.399999999999999</v>
      </c>
    </row>
    <row r="76" spans="1:31" x14ac:dyDescent="0.15">
      <c r="A76">
        <f t="shared" si="15"/>
        <v>6</v>
      </c>
      <c r="B76" s="2">
        <v>2</v>
      </c>
      <c r="C76" s="3">
        <f t="shared" si="22"/>
        <v>6.166666666666667</v>
      </c>
      <c r="E76">
        <v>114.5</v>
      </c>
      <c r="F76">
        <v>4.8</v>
      </c>
      <c r="G76">
        <f t="shared" si="16"/>
        <v>124.1</v>
      </c>
      <c r="H76">
        <f t="shared" si="17"/>
        <v>119.3</v>
      </c>
      <c r="I76">
        <f t="shared" si="18"/>
        <v>109.7</v>
      </c>
      <c r="J76">
        <f t="shared" si="19"/>
        <v>104.9</v>
      </c>
      <c r="K76">
        <f t="shared" si="20"/>
        <v>102.5</v>
      </c>
      <c r="L76">
        <f t="shared" si="21"/>
        <v>100.1</v>
      </c>
      <c r="N76">
        <v>20.8</v>
      </c>
      <c r="O76">
        <v>3.45</v>
      </c>
      <c r="P76">
        <f t="shared" si="23"/>
        <v>27.700000000000003</v>
      </c>
      <c r="Q76">
        <f t="shared" si="24"/>
        <v>24.25</v>
      </c>
      <c r="R76">
        <f t="shared" si="25"/>
        <v>17.350000000000001</v>
      </c>
      <c r="S76">
        <f t="shared" si="26"/>
        <v>13.9</v>
      </c>
      <c r="AC76">
        <v>13.3</v>
      </c>
      <c r="AD76">
        <v>15.5</v>
      </c>
      <c r="AE76">
        <v>19.399999999999999</v>
      </c>
    </row>
    <row r="77" spans="1:31" x14ac:dyDescent="0.15">
      <c r="A77">
        <f t="shared" si="15"/>
        <v>6</v>
      </c>
      <c r="B77" s="2">
        <v>3</v>
      </c>
      <c r="C77" s="3">
        <f t="shared" si="22"/>
        <v>6.25</v>
      </c>
      <c r="E77">
        <v>115</v>
      </c>
      <c r="F77">
        <v>4.9000000000000004</v>
      </c>
      <c r="G77">
        <f t="shared" si="16"/>
        <v>124.8</v>
      </c>
      <c r="H77">
        <f t="shared" si="17"/>
        <v>119.9</v>
      </c>
      <c r="I77">
        <f t="shared" si="18"/>
        <v>110.1</v>
      </c>
      <c r="J77">
        <f t="shared" si="19"/>
        <v>105.2</v>
      </c>
      <c r="K77">
        <f t="shared" si="20"/>
        <v>102.75</v>
      </c>
      <c r="L77">
        <f t="shared" si="21"/>
        <v>100.3</v>
      </c>
      <c r="N77">
        <v>21.1</v>
      </c>
      <c r="O77">
        <v>3.53</v>
      </c>
      <c r="P77">
        <f t="shared" si="23"/>
        <v>28.16</v>
      </c>
      <c r="Q77">
        <f t="shared" si="24"/>
        <v>24.630000000000003</v>
      </c>
      <c r="R77">
        <f t="shared" si="25"/>
        <v>17.57</v>
      </c>
      <c r="S77">
        <f t="shared" si="26"/>
        <v>14.040000000000003</v>
      </c>
      <c r="AC77">
        <v>13.3</v>
      </c>
      <c r="AD77">
        <v>15.5</v>
      </c>
      <c r="AE77">
        <v>19.5</v>
      </c>
    </row>
    <row r="78" spans="1:31" x14ac:dyDescent="0.15">
      <c r="A78">
        <f t="shared" si="15"/>
        <v>6</v>
      </c>
      <c r="B78" s="2">
        <v>4</v>
      </c>
      <c r="C78" s="3">
        <f t="shared" si="22"/>
        <v>6.333333333333333</v>
      </c>
      <c r="E78">
        <v>115.6</v>
      </c>
      <c r="F78">
        <v>4.9000000000000004</v>
      </c>
      <c r="G78">
        <f t="shared" si="16"/>
        <v>125.39999999999999</v>
      </c>
      <c r="H78">
        <f t="shared" si="17"/>
        <v>120.5</v>
      </c>
      <c r="I78">
        <f t="shared" si="18"/>
        <v>110.69999999999999</v>
      </c>
      <c r="J78">
        <f t="shared" si="19"/>
        <v>105.8</v>
      </c>
      <c r="K78">
        <f t="shared" si="20"/>
        <v>103.35</v>
      </c>
      <c r="L78">
        <f t="shared" si="21"/>
        <v>100.89999999999999</v>
      </c>
      <c r="N78">
        <v>21.3</v>
      </c>
      <c r="O78">
        <v>3.62</v>
      </c>
      <c r="P78">
        <f t="shared" si="23"/>
        <v>28.54</v>
      </c>
      <c r="Q78">
        <f t="shared" si="24"/>
        <v>24.92</v>
      </c>
      <c r="R78">
        <f t="shared" si="25"/>
        <v>17.68</v>
      </c>
      <c r="S78">
        <f t="shared" si="26"/>
        <v>14.06</v>
      </c>
      <c r="AC78">
        <v>13.3</v>
      </c>
      <c r="AD78">
        <v>15.5</v>
      </c>
      <c r="AE78">
        <v>19.600000000000001</v>
      </c>
    </row>
    <row r="79" spans="1:31" x14ac:dyDescent="0.15">
      <c r="A79">
        <f t="shared" si="15"/>
        <v>6</v>
      </c>
      <c r="B79" s="2">
        <v>5</v>
      </c>
      <c r="C79" s="3">
        <f t="shared" si="22"/>
        <v>6.416666666666667</v>
      </c>
      <c r="E79">
        <v>116.1</v>
      </c>
      <c r="F79">
        <v>4.9000000000000004</v>
      </c>
      <c r="G79">
        <f t="shared" si="16"/>
        <v>125.89999999999999</v>
      </c>
      <c r="H79">
        <f t="shared" si="17"/>
        <v>121</v>
      </c>
      <c r="I79">
        <f t="shared" si="18"/>
        <v>111.19999999999999</v>
      </c>
      <c r="J79">
        <f t="shared" si="19"/>
        <v>106.3</v>
      </c>
      <c r="K79">
        <f t="shared" si="20"/>
        <v>103.85</v>
      </c>
      <c r="L79">
        <f t="shared" si="21"/>
        <v>101.39999999999999</v>
      </c>
      <c r="N79">
        <v>21.6</v>
      </c>
      <c r="O79">
        <v>3.7</v>
      </c>
      <c r="P79">
        <f t="shared" si="23"/>
        <v>29</v>
      </c>
      <c r="Q79">
        <f t="shared" si="24"/>
        <v>25.3</v>
      </c>
      <c r="R79">
        <f t="shared" si="25"/>
        <v>17.900000000000002</v>
      </c>
      <c r="S79">
        <f t="shared" si="26"/>
        <v>14.200000000000001</v>
      </c>
      <c r="AC79">
        <v>13.3</v>
      </c>
      <c r="AD79">
        <v>15.5</v>
      </c>
      <c r="AE79">
        <v>19.7</v>
      </c>
    </row>
    <row r="80" spans="1:31" x14ac:dyDescent="0.15">
      <c r="A80">
        <f t="shared" si="15"/>
        <v>6</v>
      </c>
      <c r="B80" s="2">
        <v>6</v>
      </c>
      <c r="C80" s="3">
        <f t="shared" si="22"/>
        <v>6.5</v>
      </c>
      <c r="E80">
        <v>116.7</v>
      </c>
      <c r="F80">
        <v>5</v>
      </c>
      <c r="G80">
        <f t="shared" si="16"/>
        <v>126.7</v>
      </c>
      <c r="H80">
        <f t="shared" si="17"/>
        <v>121.7</v>
      </c>
      <c r="I80">
        <f t="shared" si="18"/>
        <v>111.7</v>
      </c>
      <c r="J80">
        <f t="shared" si="19"/>
        <v>106.7</v>
      </c>
      <c r="K80">
        <f t="shared" si="20"/>
        <v>104.2</v>
      </c>
      <c r="L80">
        <f t="shared" si="21"/>
        <v>101.7</v>
      </c>
      <c r="N80">
        <v>21.8</v>
      </c>
      <c r="O80">
        <v>3.78</v>
      </c>
      <c r="P80">
        <f t="shared" si="23"/>
        <v>29.36</v>
      </c>
      <c r="Q80">
        <f t="shared" si="24"/>
        <v>25.580000000000002</v>
      </c>
      <c r="R80">
        <f t="shared" si="25"/>
        <v>18.02</v>
      </c>
      <c r="S80">
        <f t="shared" si="26"/>
        <v>14.240000000000002</v>
      </c>
      <c r="AC80">
        <v>13.3</v>
      </c>
      <c r="AD80">
        <v>15.5</v>
      </c>
      <c r="AE80">
        <v>19.8</v>
      </c>
    </row>
    <row r="81" spans="1:31" x14ac:dyDescent="0.15">
      <c r="A81">
        <f t="shared" si="15"/>
        <v>6</v>
      </c>
      <c r="B81" s="2">
        <v>7</v>
      </c>
      <c r="C81" s="3">
        <f t="shared" si="22"/>
        <v>6.583333333333333</v>
      </c>
      <c r="E81">
        <v>117.2</v>
      </c>
      <c r="F81">
        <v>5</v>
      </c>
      <c r="G81">
        <f t="shared" si="16"/>
        <v>127.2</v>
      </c>
      <c r="H81">
        <f t="shared" si="17"/>
        <v>122.2</v>
      </c>
      <c r="I81">
        <f t="shared" si="18"/>
        <v>112.2</v>
      </c>
      <c r="J81">
        <f t="shared" si="19"/>
        <v>107.2</v>
      </c>
      <c r="K81">
        <f t="shared" si="20"/>
        <v>104.7</v>
      </c>
      <c r="L81">
        <f t="shared" si="21"/>
        <v>102.2</v>
      </c>
      <c r="N81">
        <v>22</v>
      </c>
      <c r="O81">
        <v>3.83</v>
      </c>
      <c r="P81">
        <f t="shared" si="23"/>
        <v>29.66</v>
      </c>
      <c r="Q81">
        <f t="shared" si="24"/>
        <v>25.83</v>
      </c>
      <c r="R81">
        <f t="shared" si="25"/>
        <v>18.170000000000002</v>
      </c>
      <c r="S81">
        <f t="shared" si="26"/>
        <v>14.34</v>
      </c>
      <c r="AC81">
        <v>13.3</v>
      </c>
      <c r="AD81">
        <v>15.5</v>
      </c>
      <c r="AE81">
        <v>19.899999999999999</v>
      </c>
    </row>
    <row r="82" spans="1:31" x14ac:dyDescent="0.15">
      <c r="A82">
        <f t="shared" si="15"/>
        <v>6</v>
      </c>
      <c r="B82" s="2">
        <v>8</v>
      </c>
      <c r="C82" s="3">
        <f t="shared" si="22"/>
        <v>6.666666666666667</v>
      </c>
      <c r="E82">
        <v>117.7</v>
      </c>
      <c r="F82">
        <v>5</v>
      </c>
      <c r="G82">
        <f t="shared" si="16"/>
        <v>127.7</v>
      </c>
      <c r="H82">
        <f t="shared" si="17"/>
        <v>122.7</v>
      </c>
      <c r="I82">
        <f t="shared" si="18"/>
        <v>112.7</v>
      </c>
      <c r="J82">
        <f t="shared" si="19"/>
        <v>107.7</v>
      </c>
      <c r="K82">
        <f t="shared" si="20"/>
        <v>105.2</v>
      </c>
      <c r="L82">
        <f t="shared" si="21"/>
        <v>102.7</v>
      </c>
      <c r="N82">
        <v>22.2</v>
      </c>
      <c r="O82">
        <v>3.89</v>
      </c>
      <c r="P82">
        <f t="shared" si="23"/>
        <v>29.98</v>
      </c>
      <c r="Q82">
        <f t="shared" si="24"/>
        <v>26.09</v>
      </c>
      <c r="R82">
        <f t="shared" si="25"/>
        <v>18.309999999999999</v>
      </c>
      <c r="S82">
        <f t="shared" si="26"/>
        <v>14.419999999999998</v>
      </c>
      <c r="AC82">
        <v>13.3</v>
      </c>
      <c r="AD82">
        <v>15.5</v>
      </c>
      <c r="AE82">
        <v>20</v>
      </c>
    </row>
    <row r="83" spans="1:31" x14ac:dyDescent="0.15">
      <c r="A83">
        <f t="shared" si="15"/>
        <v>6</v>
      </c>
      <c r="B83" s="2">
        <v>9</v>
      </c>
      <c r="C83" s="3">
        <f t="shared" si="22"/>
        <v>6.75</v>
      </c>
      <c r="E83">
        <v>118.2</v>
      </c>
      <c r="F83">
        <v>5</v>
      </c>
      <c r="G83">
        <f t="shared" si="16"/>
        <v>128.19999999999999</v>
      </c>
      <c r="H83">
        <f t="shared" si="17"/>
        <v>123.2</v>
      </c>
      <c r="I83">
        <f t="shared" si="18"/>
        <v>113.2</v>
      </c>
      <c r="J83">
        <f t="shared" si="19"/>
        <v>108.2</v>
      </c>
      <c r="K83">
        <f t="shared" si="20"/>
        <v>105.7</v>
      </c>
      <c r="L83">
        <f t="shared" si="21"/>
        <v>103.2</v>
      </c>
      <c r="N83">
        <v>22.5</v>
      </c>
      <c r="O83">
        <v>3.94</v>
      </c>
      <c r="P83">
        <f t="shared" si="23"/>
        <v>30.38</v>
      </c>
      <c r="Q83">
        <f t="shared" si="24"/>
        <v>26.44</v>
      </c>
      <c r="R83">
        <f t="shared" si="25"/>
        <v>18.559999999999999</v>
      </c>
      <c r="S83">
        <f t="shared" si="26"/>
        <v>14.620000000000001</v>
      </c>
      <c r="AC83">
        <v>13.3</v>
      </c>
      <c r="AD83">
        <v>15.6</v>
      </c>
      <c r="AE83">
        <v>20.100000000000001</v>
      </c>
    </row>
    <row r="84" spans="1:31" x14ac:dyDescent="0.15">
      <c r="A84">
        <f t="shared" si="15"/>
        <v>6</v>
      </c>
      <c r="B84" s="2">
        <v>10</v>
      </c>
      <c r="C84" s="3">
        <f t="shared" si="22"/>
        <v>6.833333333333333</v>
      </c>
      <c r="E84">
        <v>118.6</v>
      </c>
      <c r="F84">
        <v>5</v>
      </c>
      <c r="G84">
        <f t="shared" si="16"/>
        <v>128.6</v>
      </c>
      <c r="H84">
        <f t="shared" si="17"/>
        <v>123.6</v>
      </c>
      <c r="I84">
        <f t="shared" si="18"/>
        <v>113.6</v>
      </c>
      <c r="J84">
        <f t="shared" si="19"/>
        <v>108.6</v>
      </c>
      <c r="K84">
        <f t="shared" si="20"/>
        <v>106.1</v>
      </c>
      <c r="L84">
        <f t="shared" si="21"/>
        <v>103.6</v>
      </c>
      <c r="N84">
        <v>22.7</v>
      </c>
      <c r="O84">
        <v>3.99</v>
      </c>
      <c r="P84">
        <f t="shared" si="23"/>
        <v>30.68</v>
      </c>
      <c r="Q84">
        <f t="shared" si="24"/>
        <v>26.689999999999998</v>
      </c>
      <c r="R84">
        <f t="shared" si="25"/>
        <v>18.71</v>
      </c>
      <c r="S84">
        <f t="shared" si="26"/>
        <v>14.719999999999999</v>
      </c>
      <c r="AC84">
        <v>13.3</v>
      </c>
      <c r="AD84">
        <v>15.6</v>
      </c>
      <c r="AE84">
        <v>20.2</v>
      </c>
    </row>
    <row r="85" spans="1:31" x14ac:dyDescent="0.15">
      <c r="A85">
        <f t="shared" si="15"/>
        <v>6</v>
      </c>
      <c r="B85" s="2">
        <v>11</v>
      </c>
      <c r="C85" s="3">
        <f t="shared" si="22"/>
        <v>6.916666666666667</v>
      </c>
      <c r="E85">
        <v>119.1</v>
      </c>
      <c r="F85">
        <v>5</v>
      </c>
      <c r="G85">
        <f t="shared" si="16"/>
        <v>129.1</v>
      </c>
      <c r="H85">
        <f t="shared" si="17"/>
        <v>124.1</v>
      </c>
      <c r="I85">
        <f t="shared" si="18"/>
        <v>114.1</v>
      </c>
      <c r="J85">
        <f t="shared" si="19"/>
        <v>109.1</v>
      </c>
      <c r="K85">
        <f t="shared" si="20"/>
        <v>106.6</v>
      </c>
      <c r="L85">
        <f t="shared" si="21"/>
        <v>104.1</v>
      </c>
      <c r="N85">
        <v>22.9</v>
      </c>
      <c r="O85">
        <v>4.05</v>
      </c>
      <c r="P85">
        <f t="shared" si="23"/>
        <v>31</v>
      </c>
      <c r="Q85">
        <f t="shared" si="24"/>
        <v>26.95</v>
      </c>
      <c r="R85">
        <f t="shared" si="25"/>
        <v>18.849999999999998</v>
      </c>
      <c r="S85">
        <f t="shared" si="26"/>
        <v>14.799999999999999</v>
      </c>
      <c r="AC85">
        <v>13.3</v>
      </c>
      <c r="AD85">
        <v>15.6</v>
      </c>
      <c r="AE85">
        <v>20.3</v>
      </c>
    </row>
    <row r="86" spans="1:31" x14ac:dyDescent="0.15">
      <c r="A86">
        <f t="shared" si="15"/>
        <v>7</v>
      </c>
      <c r="B86" s="2">
        <v>0</v>
      </c>
      <c r="C86" s="3">
        <f t="shared" si="22"/>
        <v>7</v>
      </c>
      <c r="E86">
        <v>119.6</v>
      </c>
      <c r="F86">
        <v>5.0999999999999996</v>
      </c>
      <c r="G86">
        <f t="shared" si="16"/>
        <v>129.79999999999998</v>
      </c>
      <c r="H86">
        <f t="shared" si="17"/>
        <v>124.69999999999999</v>
      </c>
      <c r="I86">
        <f t="shared" si="18"/>
        <v>114.5</v>
      </c>
      <c r="J86">
        <f t="shared" si="19"/>
        <v>109.39999999999999</v>
      </c>
      <c r="K86">
        <f t="shared" si="20"/>
        <v>106.85</v>
      </c>
      <c r="L86">
        <f t="shared" si="21"/>
        <v>104.3</v>
      </c>
      <c r="N86">
        <v>23.1</v>
      </c>
      <c r="O86">
        <v>4.0999999999999996</v>
      </c>
      <c r="P86">
        <f t="shared" si="23"/>
        <v>31.3</v>
      </c>
      <c r="Q86">
        <f t="shared" si="24"/>
        <v>27.200000000000003</v>
      </c>
      <c r="R86">
        <f t="shared" si="25"/>
        <v>19</v>
      </c>
      <c r="S86">
        <f t="shared" si="26"/>
        <v>14.900000000000002</v>
      </c>
      <c r="AC86">
        <v>13.3</v>
      </c>
      <c r="AD86">
        <v>15.6</v>
      </c>
      <c r="AE86">
        <v>20.399999999999999</v>
      </c>
    </row>
    <row r="87" spans="1:31" x14ac:dyDescent="0.15">
      <c r="A87">
        <f t="shared" si="15"/>
        <v>7</v>
      </c>
      <c r="B87" s="2">
        <v>1</v>
      </c>
      <c r="C87" s="3">
        <f t="shared" si="22"/>
        <v>7.083333333333333</v>
      </c>
      <c r="E87">
        <v>120.1</v>
      </c>
      <c r="F87">
        <v>5.0999999999999996</v>
      </c>
      <c r="G87">
        <f t="shared" si="16"/>
        <v>130.29999999999998</v>
      </c>
      <c r="H87">
        <f t="shared" si="17"/>
        <v>125.19999999999999</v>
      </c>
      <c r="I87">
        <f t="shared" si="18"/>
        <v>115</v>
      </c>
      <c r="J87">
        <f t="shared" si="19"/>
        <v>109.89999999999999</v>
      </c>
      <c r="K87">
        <f t="shared" si="20"/>
        <v>107.35</v>
      </c>
      <c r="L87">
        <f t="shared" si="21"/>
        <v>104.8</v>
      </c>
      <c r="N87">
        <v>23.3</v>
      </c>
      <c r="O87">
        <v>4.1500000000000004</v>
      </c>
      <c r="P87">
        <f t="shared" si="23"/>
        <v>31.6</v>
      </c>
      <c r="Q87">
        <f t="shared" si="24"/>
        <v>27.450000000000003</v>
      </c>
      <c r="R87">
        <f t="shared" si="25"/>
        <v>19.149999999999999</v>
      </c>
      <c r="S87">
        <f t="shared" si="26"/>
        <v>15</v>
      </c>
      <c r="AC87">
        <v>13.3</v>
      </c>
      <c r="AD87">
        <v>15.6</v>
      </c>
      <c r="AE87">
        <v>20.5</v>
      </c>
    </row>
    <row r="88" spans="1:31" x14ac:dyDescent="0.15">
      <c r="A88">
        <f t="shared" si="15"/>
        <v>7</v>
      </c>
      <c r="B88" s="2">
        <v>2</v>
      </c>
      <c r="C88" s="3">
        <f t="shared" si="22"/>
        <v>7.166666666666667</v>
      </c>
      <c r="E88">
        <v>120.6</v>
      </c>
      <c r="F88">
        <v>5.0999999999999996</v>
      </c>
      <c r="G88">
        <f t="shared" si="16"/>
        <v>130.79999999999998</v>
      </c>
      <c r="H88">
        <f t="shared" si="17"/>
        <v>125.69999999999999</v>
      </c>
      <c r="I88">
        <f t="shared" si="18"/>
        <v>115.5</v>
      </c>
      <c r="J88">
        <f t="shared" si="19"/>
        <v>110.39999999999999</v>
      </c>
      <c r="K88">
        <f t="shared" si="20"/>
        <v>107.85</v>
      </c>
      <c r="L88">
        <f t="shared" si="21"/>
        <v>105.3</v>
      </c>
      <c r="N88">
        <v>23.5</v>
      </c>
      <c r="O88">
        <v>4.21</v>
      </c>
      <c r="P88">
        <f t="shared" si="23"/>
        <v>31.92</v>
      </c>
      <c r="Q88">
        <f t="shared" si="24"/>
        <v>27.71</v>
      </c>
      <c r="R88">
        <f t="shared" si="25"/>
        <v>19.29</v>
      </c>
      <c r="S88">
        <f t="shared" si="26"/>
        <v>15.08</v>
      </c>
      <c r="AC88">
        <v>13.3</v>
      </c>
      <c r="AD88">
        <v>15.6</v>
      </c>
      <c r="AE88">
        <v>20.7</v>
      </c>
    </row>
    <row r="89" spans="1:31" x14ac:dyDescent="0.15">
      <c r="A89">
        <f t="shared" si="15"/>
        <v>7</v>
      </c>
      <c r="B89" s="2">
        <v>3</v>
      </c>
      <c r="C89" s="3">
        <f t="shared" si="22"/>
        <v>7.25</v>
      </c>
      <c r="E89">
        <v>121.1</v>
      </c>
      <c r="F89">
        <v>5.0999999999999996</v>
      </c>
      <c r="G89">
        <f t="shared" si="16"/>
        <v>131.29999999999998</v>
      </c>
      <c r="H89">
        <f t="shared" si="17"/>
        <v>126.19999999999999</v>
      </c>
      <c r="I89">
        <f t="shared" si="18"/>
        <v>116</v>
      </c>
      <c r="J89">
        <f t="shared" si="19"/>
        <v>110.89999999999999</v>
      </c>
      <c r="K89">
        <f t="shared" si="20"/>
        <v>108.35</v>
      </c>
      <c r="L89">
        <f t="shared" si="21"/>
        <v>105.8</v>
      </c>
      <c r="N89">
        <v>23.8</v>
      </c>
      <c r="O89">
        <v>4.26</v>
      </c>
      <c r="P89">
        <f t="shared" si="23"/>
        <v>32.32</v>
      </c>
      <c r="Q89">
        <f t="shared" si="24"/>
        <v>28.060000000000002</v>
      </c>
      <c r="R89">
        <f t="shared" si="25"/>
        <v>19.54</v>
      </c>
      <c r="S89">
        <f t="shared" si="26"/>
        <v>15.280000000000001</v>
      </c>
      <c r="AC89">
        <v>13.3</v>
      </c>
      <c r="AD89">
        <v>15.7</v>
      </c>
      <c r="AE89">
        <v>20.8</v>
      </c>
    </row>
    <row r="90" spans="1:31" x14ac:dyDescent="0.15">
      <c r="A90">
        <f t="shared" si="15"/>
        <v>7</v>
      </c>
      <c r="B90" s="2">
        <v>4</v>
      </c>
      <c r="C90" s="3">
        <f t="shared" si="22"/>
        <v>7.333333333333333</v>
      </c>
      <c r="E90">
        <v>121.5</v>
      </c>
      <c r="F90">
        <v>5.0999999999999996</v>
      </c>
      <c r="G90">
        <f t="shared" si="16"/>
        <v>131.69999999999999</v>
      </c>
      <c r="H90">
        <f t="shared" si="17"/>
        <v>126.6</v>
      </c>
      <c r="I90">
        <f t="shared" si="18"/>
        <v>116.4</v>
      </c>
      <c r="J90">
        <f t="shared" si="19"/>
        <v>111.3</v>
      </c>
      <c r="K90">
        <f t="shared" si="20"/>
        <v>108.75</v>
      </c>
      <c r="L90">
        <f t="shared" si="21"/>
        <v>106.2</v>
      </c>
      <c r="N90">
        <v>24</v>
      </c>
      <c r="O90">
        <v>4.3099999999999996</v>
      </c>
      <c r="P90">
        <f t="shared" si="23"/>
        <v>32.619999999999997</v>
      </c>
      <c r="Q90">
        <f t="shared" si="24"/>
        <v>28.31</v>
      </c>
      <c r="R90">
        <f t="shared" si="25"/>
        <v>19.690000000000001</v>
      </c>
      <c r="S90">
        <f t="shared" si="26"/>
        <v>15.38</v>
      </c>
      <c r="AC90">
        <v>13.3</v>
      </c>
      <c r="AD90">
        <v>15.7</v>
      </c>
      <c r="AE90">
        <v>20.9</v>
      </c>
    </row>
    <row r="91" spans="1:31" x14ac:dyDescent="0.15">
      <c r="A91">
        <f t="shared" si="15"/>
        <v>7</v>
      </c>
      <c r="B91" s="2">
        <v>5</v>
      </c>
      <c r="C91" s="3">
        <f t="shared" si="22"/>
        <v>7.416666666666667</v>
      </c>
      <c r="E91">
        <v>122</v>
      </c>
      <c r="F91">
        <v>5.0999999999999996</v>
      </c>
      <c r="G91">
        <f t="shared" si="16"/>
        <v>132.19999999999999</v>
      </c>
      <c r="H91">
        <f t="shared" si="17"/>
        <v>127.1</v>
      </c>
      <c r="I91">
        <f t="shared" si="18"/>
        <v>116.9</v>
      </c>
      <c r="J91">
        <f t="shared" si="19"/>
        <v>111.8</v>
      </c>
      <c r="K91">
        <f t="shared" si="20"/>
        <v>109.25</v>
      </c>
      <c r="L91">
        <f t="shared" si="21"/>
        <v>106.7</v>
      </c>
      <c r="N91">
        <v>24.2</v>
      </c>
      <c r="O91">
        <v>4.37</v>
      </c>
      <c r="P91">
        <f t="shared" si="23"/>
        <v>32.94</v>
      </c>
      <c r="Q91">
        <f t="shared" si="24"/>
        <v>28.57</v>
      </c>
      <c r="R91">
        <f t="shared" si="25"/>
        <v>19.829999999999998</v>
      </c>
      <c r="S91">
        <f t="shared" si="26"/>
        <v>15.459999999999999</v>
      </c>
      <c r="AC91">
        <v>13.3</v>
      </c>
      <c r="AD91">
        <v>15.7</v>
      </c>
      <c r="AE91">
        <v>21</v>
      </c>
    </row>
    <row r="92" spans="1:31" x14ac:dyDescent="0.15">
      <c r="A92">
        <f t="shared" si="15"/>
        <v>7</v>
      </c>
      <c r="B92" s="2">
        <v>6</v>
      </c>
      <c r="C92" s="3">
        <f t="shared" si="22"/>
        <v>7.5</v>
      </c>
      <c r="E92">
        <v>122.5</v>
      </c>
      <c r="F92">
        <v>5.0999999999999996</v>
      </c>
      <c r="G92">
        <f t="shared" si="16"/>
        <v>132.69999999999999</v>
      </c>
      <c r="H92">
        <f t="shared" si="17"/>
        <v>127.6</v>
      </c>
      <c r="I92">
        <f t="shared" si="18"/>
        <v>117.4</v>
      </c>
      <c r="J92">
        <f t="shared" si="19"/>
        <v>112.3</v>
      </c>
      <c r="K92">
        <f t="shared" si="20"/>
        <v>109.75</v>
      </c>
      <c r="L92">
        <f t="shared" si="21"/>
        <v>107.2</v>
      </c>
      <c r="N92">
        <v>24.4</v>
      </c>
      <c r="O92">
        <v>4.42</v>
      </c>
      <c r="P92">
        <f t="shared" si="23"/>
        <v>33.239999999999995</v>
      </c>
      <c r="Q92">
        <f t="shared" si="24"/>
        <v>28.82</v>
      </c>
      <c r="R92">
        <f t="shared" si="25"/>
        <v>19.979999999999997</v>
      </c>
      <c r="S92">
        <f t="shared" si="26"/>
        <v>15.559999999999999</v>
      </c>
      <c r="AC92">
        <v>13.3</v>
      </c>
      <c r="AD92">
        <v>15.7</v>
      </c>
      <c r="AE92">
        <v>21.1</v>
      </c>
    </row>
    <row r="93" spans="1:31" x14ac:dyDescent="0.15">
      <c r="A93">
        <f t="shared" si="15"/>
        <v>7</v>
      </c>
      <c r="B93" s="2">
        <v>7</v>
      </c>
      <c r="C93" s="3">
        <f t="shared" si="22"/>
        <v>7.583333333333333</v>
      </c>
      <c r="E93">
        <v>123</v>
      </c>
      <c r="F93">
        <v>5.2</v>
      </c>
      <c r="G93">
        <f t="shared" si="16"/>
        <v>133.4</v>
      </c>
      <c r="H93">
        <f t="shared" si="17"/>
        <v>128.19999999999999</v>
      </c>
      <c r="I93">
        <f t="shared" si="18"/>
        <v>117.8</v>
      </c>
      <c r="J93">
        <f t="shared" si="19"/>
        <v>112.6</v>
      </c>
      <c r="K93">
        <f t="shared" si="20"/>
        <v>110</v>
      </c>
      <c r="L93">
        <f t="shared" si="21"/>
        <v>107.4</v>
      </c>
      <c r="N93">
        <v>24.7</v>
      </c>
      <c r="O93">
        <v>4.5199999999999996</v>
      </c>
      <c r="P93">
        <f t="shared" si="23"/>
        <v>33.739999999999995</v>
      </c>
      <c r="Q93">
        <f t="shared" si="24"/>
        <v>29.22</v>
      </c>
      <c r="R93">
        <f t="shared" si="25"/>
        <v>20.18</v>
      </c>
      <c r="S93">
        <f t="shared" si="26"/>
        <v>15.66</v>
      </c>
      <c r="AC93">
        <v>13.3</v>
      </c>
      <c r="AD93">
        <v>15.7</v>
      </c>
      <c r="AE93">
        <v>21.2</v>
      </c>
    </row>
    <row r="94" spans="1:31" x14ac:dyDescent="0.15">
      <c r="A94">
        <f t="shared" si="15"/>
        <v>7</v>
      </c>
      <c r="B94" s="2">
        <v>8</v>
      </c>
      <c r="C94" s="3">
        <f t="shared" si="22"/>
        <v>7.666666666666667</v>
      </c>
      <c r="E94">
        <v>123.4</v>
      </c>
      <c r="F94">
        <v>5.2</v>
      </c>
      <c r="G94">
        <f t="shared" si="16"/>
        <v>133.80000000000001</v>
      </c>
      <c r="H94">
        <f t="shared" si="17"/>
        <v>128.6</v>
      </c>
      <c r="I94">
        <f t="shared" si="18"/>
        <v>118.2</v>
      </c>
      <c r="J94">
        <f t="shared" si="19"/>
        <v>113</v>
      </c>
      <c r="K94">
        <f t="shared" si="20"/>
        <v>110.4</v>
      </c>
      <c r="L94">
        <f t="shared" si="21"/>
        <v>107.80000000000001</v>
      </c>
      <c r="N94">
        <v>25</v>
      </c>
      <c r="O94">
        <v>4.62</v>
      </c>
      <c r="P94">
        <f t="shared" si="23"/>
        <v>34.24</v>
      </c>
      <c r="Q94">
        <f t="shared" si="24"/>
        <v>29.62</v>
      </c>
      <c r="R94">
        <f t="shared" si="25"/>
        <v>20.38</v>
      </c>
      <c r="S94">
        <f t="shared" si="26"/>
        <v>15.76</v>
      </c>
      <c r="AC94">
        <v>13.3</v>
      </c>
      <c r="AD94">
        <v>15.7</v>
      </c>
      <c r="AE94">
        <v>21.4</v>
      </c>
    </row>
    <row r="95" spans="1:31" x14ac:dyDescent="0.15">
      <c r="A95">
        <f t="shared" si="15"/>
        <v>7</v>
      </c>
      <c r="B95" s="2">
        <v>9</v>
      </c>
      <c r="C95" s="3">
        <f t="shared" si="22"/>
        <v>7.75</v>
      </c>
      <c r="E95">
        <v>123.9</v>
      </c>
      <c r="F95">
        <v>5.2</v>
      </c>
      <c r="G95">
        <f t="shared" si="16"/>
        <v>134.30000000000001</v>
      </c>
      <c r="H95">
        <f t="shared" si="17"/>
        <v>129.1</v>
      </c>
      <c r="I95">
        <f t="shared" si="18"/>
        <v>118.7</v>
      </c>
      <c r="J95">
        <f t="shared" si="19"/>
        <v>113.5</v>
      </c>
      <c r="K95">
        <f t="shared" si="20"/>
        <v>110.9</v>
      </c>
      <c r="L95">
        <f t="shared" si="21"/>
        <v>108.30000000000001</v>
      </c>
      <c r="N95">
        <v>25.2</v>
      </c>
      <c r="O95">
        <v>4.72</v>
      </c>
      <c r="P95">
        <f t="shared" si="23"/>
        <v>34.64</v>
      </c>
      <c r="Q95">
        <f t="shared" si="24"/>
        <v>29.919999999999998</v>
      </c>
      <c r="R95">
        <f t="shared" si="25"/>
        <v>20.48</v>
      </c>
      <c r="S95">
        <f t="shared" si="26"/>
        <v>15.76</v>
      </c>
      <c r="AC95">
        <v>13.3</v>
      </c>
      <c r="AD95">
        <v>15.8</v>
      </c>
      <c r="AE95">
        <v>21.5</v>
      </c>
    </row>
    <row r="96" spans="1:31" x14ac:dyDescent="0.15">
      <c r="A96">
        <f t="shared" si="15"/>
        <v>7</v>
      </c>
      <c r="B96" s="2">
        <v>10</v>
      </c>
      <c r="C96" s="3">
        <f t="shared" si="22"/>
        <v>7.833333333333333</v>
      </c>
      <c r="E96">
        <v>124.4</v>
      </c>
      <c r="F96">
        <v>5.2</v>
      </c>
      <c r="G96">
        <f t="shared" si="16"/>
        <v>134.80000000000001</v>
      </c>
      <c r="H96">
        <f t="shared" si="17"/>
        <v>129.6</v>
      </c>
      <c r="I96">
        <f t="shared" si="18"/>
        <v>119.2</v>
      </c>
      <c r="J96">
        <f t="shared" si="19"/>
        <v>114</v>
      </c>
      <c r="K96">
        <f t="shared" si="20"/>
        <v>111.4</v>
      </c>
      <c r="L96">
        <f t="shared" si="21"/>
        <v>108.80000000000001</v>
      </c>
      <c r="N96">
        <v>25.5</v>
      </c>
      <c r="O96">
        <v>4.82</v>
      </c>
      <c r="P96">
        <f t="shared" si="23"/>
        <v>35.14</v>
      </c>
      <c r="Q96">
        <f t="shared" si="24"/>
        <v>30.32</v>
      </c>
      <c r="R96">
        <f t="shared" si="25"/>
        <v>20.68</v>
      </c>
      <c r="S96">
        <f t="shared" si="26"/>
        <v>15.86</v>
      </c>
      <c r="AC96">
        <v>13.3</v>
      </c>
      <c r="AD96">
        <v>15.8</v>
      </c>
      <c r="AE96">
        <v>21.6</v>
      </c>
    </row>
    <row r="97" spans="1:31" x14ac:dyDescent="0.15">
      <c r="A97">
        <f t="shared" si="15"/>
        <v>7</v>
      </c>
      <c r="B97" s="2">
        <v>11</v>
      </c>
      <c r="C97" s="3">
        <f t="shared" si="22"/>
        <v>7.916666666666667</v>
      </c>
      <c r="E97">
        <v>124.8</v>
      </c>
      <c r="F97">
        <v>5.3</v>
      </c>
      <c r="G97">
        <f t="shared" si="16"/>
        <v>135.4</v>
      </c>
      <c r="H97">
        <f t="shared" si="17"/>
        <v>130.1</v>
      </c>
      <c r="I97">
        <f t="shared" si="18"/>
        <v>119.5</v>
      </c>
      <c r="J97">
        <f t="shared" si="19"/>
        <v>114.2</v>
      </c>
      <c r="K97">
        <f t="shared" si="20"/>
        <v>111.55</v>
      </c>
      <c r="L97">
        <f t="shared" si="21"/>
        <v>108.9</v>
      </c>
      <c r="N97">
        <v>25.8</v>
      </c>
      <c r="O97">
        <v>4.92</v>
      </c>
      <c r="P97">
        <f t="shared" si="23"/>
        <v>35.64</v>
      </c>
      <c r="Q97">
        <f t="shared" si="24"/>
        <v>30.72</v>
      </c>
      <c r="R97">
        <f t="shared" si="25"/>
        <v>20.880000000000003</v>
      </c>
      <c r="S97">
        <f t="shared" si="26"/>
        <v>15.96</v>
      </c>
      <c r="AC97">
        <v>13.4</v>
      </c>
      <c r="AD97">
        <v>15.8</v>
      </c>
      <c r="AE97">
        <v>21.7</v>
      </c>
    </row>
    <row r="98" spans="1:31" x14ac:dyDescent="0.15">
      <c r="A98">
        <f t="shared" si="15"/>
        <v>8</v>
      </c>
      <c r="B98" s="2">
        <v>0</v>
      </c>
      <c r="C98" s="3">
        <f t="shared" si="22"/>
        <v>8</v>
      </c>
      <c r="E98">
        <v>125.3</v>
      </c>
      <c r="F98">
        <v>5.3</v>
      </c>
      <c r="G98">
        <f t="shared" si="16"/>
        <v>135.9</v>
      </c>
      <c r="H98">
        <f t="shared" si="17"/>
        <v>130.6</v>
      </c>
      <c r="I98">
        <f t="shared" si="18"/>
        <v>120</v>
      </c>
      <c r="J98">
        <f t="shared" si="19"/>
        <v>114.7</v>
      </c>
      <c r="K98">
        <f t="shared" si="20"/>
        <v>112.05</v>
      </c>
      <c r="L98">
        <f t="shared" si="21"/>
        <v>109.4</v>
      </c>
      <c r="N98">
        <v>26.1</v>
      </c>
      <c r="O98">
        <v>5.03</v>
      </c>
      <c r="P98">
        <f t="shared" si="23"/>
        <v>36.160000000000004</v>
      </c>
      <c r="Q98">
        <f t="shared" si="24"/>
        <v>31.130000000000003</v>
      </c>
      <c r="R98">
        <f t="shared" si="25"/>
        <v>21.07</v>
      </c>
      <c r="S98">
        <f t="shared" si="26"/>
        <v>16.04</v>
      </c>
      <c r="AC98">
        <v>13.4</v>
      </c>
      <c r="AD98">
        <v>15.8</v>
      </c>
      <c r="AE98">
        <v>21.9</v>
      </c>
    </row>
    <row r="99" spans="1:31" x14ac:dyDescent="0.15">
      <c r="A99">
        <f t="shared" si="15"/>
        <v>8</v>
      </c>
      <c r="B99" s="2">
        <v>1</v>
      </c>
      <c r="C99" s="3">
        <f t="shared" si="22"/>
        <v>8.0833333333333339</v>
      </c>
      <c r="E99">
        <v>125.8</v>
      </c>
      <c r="F99">
        <v>5.3</v>
      </c>
      <c r="G99">
        <f t="shared" si="16"/>
        <v>136.4</v>
      </c>
      <c r="H99">
        <f t="shared" si="17"/>
        <v>131.1</v>
      </c>
      <c r="I99">
        <f t="shared" si="18"/>
        <v>120.5</v>
      </c>
      <c r="J99">
        <f t="shared" si="19"/>
        <v>115.2</v>
      </c>
      <c r="K99">
        <f t="shared" si="20"/>
        <v>112.55</v>
      </c>
      <c r="L99">
        <f t="shared" si="21"/>
        <v>109.9</v>
      </c>
      <c r="N99">
        <v>26.3</v>
      </c>
      <c r="O99">
        <v>5.13</v>
      </c>
      <c r="P99">
        <f t="shared" si="23"/>
        <v>36.56</v>
      </c>
      <c r="Q99">
        <f t="shared" si="24"/>
        <v>31.43</v>
      </c>
      <c r="R99">
        <f t="shared" si="25"/>
        <v>21.17</v>
      </c>
      <c r="S99">
        <f t="shared" si="26"/>
        <v>16.04</v>
      </c>
      <c r="AC99">
        <v>13.4</v>
      </c>
      <c r="AD99">
        <v>15.9</v>
      </c>
      <c r="AE99">
        <v>22</v>
      </c>
    </row>
    <row r="100" spans="1:31" x14ac:dyDescent="0.15">
      <c r="A100">
        <f t="shared" si="15"/>
        <v>8</v>
      </c>
      <c r="B100" s="2">
        <v>2</v>
      </c>
      <c r="C100" s="3">
        <f t="shared" si="22"/>
        <v>8.1666666666666661</v>
      </c>
      <c r="E100">
        <v>126.2</v>
      </c>
      <c r="F100">
        <v>5.3</v>
      </c>
      <c r="G100">
        <f t="shared" si="16"/>
        <v>136.80000000000001</v>
      </c>
      <c r="H100">
        <f t="shared" si="17"/>
        <v>131.5</v>
      </c>
      <c r="I100">
        <f t="shared" si="18"/>
        <v>120.9</v>
      </c>
      <c r="J100">
        <f t="shared" si="19"/>
        <v>115.60000000000001</v>
      </c>
      <c r="K100">
        <f t="shared" si="20"/>
        <v>112.95</v>
      </c>
      <c r="L100">
        <f t="shared" si="21"/>
        <v>110.30000000000001</v>
      </c>
      <c r="N100">
        <v>26.6</v>
      </c>
      <c r="O100">
        <v>5.23</v>
      </c>
      <c r="P100">
        <f t="shared" si="23"/>
        <v>37.06</v>
      </c>
      <c r="Q100">
        <f t="shared" si="24"/>
        <v>31.830000000000002</v>
      </c>
      <c r="R100">
        <f t="shared" si="25"/>
        <v>21.37</v>
      </c>
      <c r="S100">
        <f t="shared" si="26"/>
        <v>16.14</v>
      </c>
      <c r="AC100">
        <v>13.4</v>
      </c>
      <c r="AD100">
        <v>15.9</v>
      </c>
      <c r="AE100">
        <v>22.1</v>
      </c>
    </row>
    <row r="101" spans="1:31" x14ac:dyDescent="0.15">
      <c r="A101">
        <f t="shared" si="15"/>
        <v>8</v>
      </c>
      <c r="B101" s="2">
        <v>3</v>
      </c>
      <c r="C101" s="3">
        <f t="shared" si="22"/>
        <v>8.25</v>
      </c>
      <c r="E101">
        <v>126.7</v>
      </c>
      <c r="F101">
        <v>5.4</v>
      </c>
      <c r="G101">
        <f t="shared" si="16"/>
        <v>137.5</v>
      </c>
      <c r="H101">
        <f t="shared" si="17"/>
        <v>132.1</v>
      </c>
      <c r="I101">
        <f t="shared" si="18"/>
        <v>121.3</v>
      </c>
      <c r="J101">
        <f t="shared" si="19"/>
        <v>115.9</v>
      </c>
      <c r="K101">
        <f t="shared" si="20"/>
        <v>113.2</v>
      </c>
      <c r="L101">
        <f t="shared" si="21"/>
        <v>110.5</v>
      </c>
      <c r="N101">
        <v>26.9</v>
      </c>
      <c r="O101">
        <v>5.33</v>
      </c>
      <c r="P101">
        <f t="shared" si="23"/>
        <v>37.56</v>
      </c>
      <c r="Q101">
        <f t="shared" si="24"/>
        <v>32.229999999999997</v>
      </c>
      <c r="R101">
        <f t="shared" si="25"/>
        <v>21.57</v>
      </c>
      <c r="S101">
        <f t="shared" si="26"/>
        <v>16.239999999999998</v>
      </c>
      <c r="AC101">
        <v>13.4</v>
      </c>
      <c r="AD101">
        <v>15.9</v>
      </c>
      <c r="AE101">
        <v>22.3</v>
      </c>
    </row>
    <row r="102" spans="1:31" x14ac:dyDescent="0.15">
      <c r="A102">
        <f t="shared" si="15"/>
        <v>8</v>
      </c>
      <c r="B102" s="2">
        <v>4</v>
      </c>
      <c r="C102" s="3">
        <f t="shared" si="22"/>
        <v>8.3333333333333339</v>
      </c>
      <c r="E102">
        <v>127.2</v>
      </c>
      <c r="F102">
        <v>5.4</v>
      </c>
      <c r="G102">
        <f t="shared" si="16"/>
        <v>138</v>
      </c>
      <c r="H102">
        <f t="shared" si="17"/>
        <v>132.6</v>
      </c>
      <c r="I102">
        <f t="shared" si="18"/>
        <v>121.8</v>
      </c>
      <c r="J102">
        <f t="shared" si="19"/>
        <v>116.4</v>
      </c>
      <c r="K102">
        <f t="shared" si="20"/>
        <v>113.7</v>
      </c>
      <c r="L102">
        <f t="shared" si="21"/>
        <v>111</v>
      </c>
      <c r="N102">
        <v>27.2</v>
      </c>
      <c r="O102">
        <v>5.43</v>
      </c>
      <c r="P102">
        <f t="shared" si="23"/>
        <v>38.06</v>
      </c>
      <c r="Q102">
        <f t="shared" si="24"/>
        <v>32.629999999999995</v>
      </c>
      <c r="R102">
        <f t="shared" si="25"/>
        <v>21.77</v>
      </c>
      <c r="S102">
        <f t="shared" si="26"/>
        <v>16.34</v>
      </c>
      <c r="AC102">
        <v>13.4</v>
      </c>
      <c r="AD102">
        <v>16</v>
      </c>
      <c r="AE102">
        <v>22.4</v>
      </c>
    </row>
    <row r="103" spans="1:31" x14ac:dyDescent="0.15">
      <c r="A103">
        <f t="shared" ref="A103:A166" si="27">A91+1</f>
        <v>8</v>
      </c>
      <c r="B103" s="2">
        <v>5</v>
      </c>
      <c r="C103" s="3">
        <f t="shared" si="22"/>
        <v>8.4166666666666661</v>
      </c>
      <c r="E103">
        <v>127.6</v>
      </c>
      <c r="F103">
        <v>5.4</v>
      </c>
      <c r="G103">
        <f t="shared" si="16"/>
        <v>138.4</v>
      </c>
      <c r="H103">
        <f t="shared" si="17"/>
        <v>133</v>
      </c>
      <c r="I103">
        <f t="shared" si="18"/>
        <v>122.19999999999999</v>
      </c>
      <c r="J103">
        <f t="shared" si="19"/>
        <v>116.8</v>
      </c>
      <c r="K103">
        <f t="shared" si="20"/>
        <v>114.1</v>
      </c>
      <c r="L103">
        <f t="shared" si="21"/>
        <v>111.39999999999999</v>
      </c>
      <c r="N103">
        <v>27.4</v>
      </c>
      <c r="O103">
        <v>5.53</v>
      </c>
      <c r="P103">
        <f t="shared" si="23"/>
        <v>38.46</v>
      </c>
      <c r="Q103">
        <f t="shared" si="24"/>
        <v>32.93</v>
      </c>
      <c r="R103">
        <f t="shared" si="25"/>
        <v>21.869999999999997</v>
      </c>
      <c r="S103">
        <f t="shared" si="26"/>
        <v>16.339999999999996</v>
      </c>
      <c r="AC103">
        <v>13.4</v>
      </c>
      <c r="AD103">
        <v>16</v>
      </c>
      <c r="AE103">
        <v>22.5</v>
      </c>
    </row>
    <row r="104" spans="1:31" x14ac:dyDescent="0.15">
      <c r="A104">
        <f t="shared" si="27"/>
        <v>8</v>
      </c>
      <c r="B104" s="2">
        <v>6</v>
      </c>
      <c r="C104" s="3">
        <f t="shared" si="22"/>
        <v>8.5</v>
      </c>
      <c r="E104">
        <v>128.1</v>
      </c>
      <c r="F104">
        <v>5.5</v>
      </c>
      <c r="G104">
        <f t="shared" si="16"/>
        <v>139.1</v>
      </c>
      <c r="H104">
        <f t="shared" si="17"/>
        <v>133.6</v>
      </c>
      <c r="I104">
        <f t="shared" si="18"/>
        <v>122.6</v>
      </c>
      <c r="J104">
        <f t="shared" si="19"/>
        <v>117.1</v>
      </c>
      <c r="K104">
        <f t="shared" si="20"/>
        <v>114.35</v>
      </c>
      <c r="L104">
        <f t="shared" si="21"/>
        <v>111.6</v>
      </c>
      <c r="N104">
        <v>27.7</v>
      </c>
      <c r="O104">
        <v>5.63</v>
      </c>
      <c r="P104">
        <f t="shared" si="23"/>
        <v>38.96</v>
      </c>
      <c r="Q104">
        <f t="shared" si="24"/>
        <v>33.33</v>
      </c>
      <c r="R104">
        <f t="shared" si="25"/>
        <v>22.07</v>
      </c>
      <c r="S104">
        <f t="shared" si="26"/>
        <v>16.439999999999998</v>
      </c>
      <c r="AC104">
        <v>13.4</v>
      </c>
      <c r="AD104">
        <v>16</v>
      </c>
      <c r="AE104">
        <v>22.6</v>
      </c>
    </row>
    <row r="105" spans="1:31" x14ac:dyDescent="0.15">
      <c r="A105">
        <f t="shared" si="27"/>
        <v>8</v>
      </c>
      <c r="B105" s="2">
        <v>7</v>
      </c>
      <c r="C105" s="3">
        <f t="shared" si="22"/>
        <v>8.5833333333333339</v>
      </c>
      <c r="E105">
        <v>128.6</v>
      </c>
      <c r="F105">
        <v>5.5</v>
      </c>
      <c r="G105">
        <f t="shared" si="16"/>
        <v>139.6</v>
      </c>
      <c r="H105">
        <f t="shared" si="17"/>
        <v>134.1</v>
      </c>
      <c r="I105">
        <f t="shared" si="18"/>
        <v>123.1</v>
      </c>
      <c r="J105">
        <f t="shared" si="19"/>
        <v>117.6</v>
      </c>
      <c r="K105">
        <f t="shared" si="20"/>
        <v>114.85</v>
      </c>
      <c r="L105">
        <f t="shared" si="21"/>
        <v>112.1</v>
      </c>
      <c r="N105">
        <v>28</v>
      </c>
      <c r="O105">
        <v>5.73</v>
      </c>
      <c r="P105">
        <f t="shared" si="23"/>
        <v>39.46</v>
      </c>
      <c r="Q105">
        <f t="shared" si="24"/>
        <v>33.730000000000004</v>
      </c>
      <c r="R105">
        <f t="shared" si="25"/>
        <v>22.27</v>
      </c>
      <c r="S105">
        <f t="shared" si="26"/>
        <v>16.54</v>
      </c>
      <c r="AC105">
        <v>13.5</v>
      </c>
      <c r="AD105">
        <v>16</v>
      </c>
      <c r="AE105">
        <v>22.8</v>
      </c>
    </row>
    <row r="106" spans="1:31" x14ac:dyDescent="0.15">
      <c r="A106">
        <f t="shared" si="27"/>
        <v>8</v>
      </c>
      <c r="B106" s="2">
        <v>8</v>
      </c>
      <c r="C106" s="3">
        <f t="shared" si="22"/>
        <v>8.6666666666666661</v>
      </c>
      <c r="E106">
        <v>129</v>
      </c>
      <c r="F106">
        <v>5.5</v>
      </c>
      <c r="G106">
        <f t="shared" si="16"/>
        <v>140</v>
      </c>
      <c r="H106">
        <f t="shared" si="17"/>
        <v>134.5</v>
      </c>
      <c r="I106">
        <f t="shared" si="18"/>
        <v>123.5</v>
      </c>
      <c r="J106">
        <f t="shared" si="19"/>
        <v>118</v>
      </c>
      <c r="K106">
        <f t="shared" si="20"/>
        <v>115.25</v>
      </c>
      <c r="L106">
        <f t="shared" si="21"/>
        <v>112.5</v>
      </c>
      <c r="N106">
        <v>28.3</v>
      </c>
      <c r="O106">
        <v>5.83</v>
      </c>
      <c r="P106">
        <f t="shared" si="23"/>
        <v>39.96</v>
      </c>
      <c r="Q106">
        <f t="shared" si="24"/>
        <v>34.130000000000003</v>
      </c>
      <c r="R106">
        <f t="shared" si="25"/>
        <v>22.47</v>
      </c>
      <c r="S106">
        <f t="shared" si="26"/>
        <v>16.64</v>
      </c>
      <c r="AC106">
        <v>13.5</v>
      </c>
      <c r="AD106">
        <v>16.100000000000001</v>
      </c>
      <c r="AE106">
        <v>22.9</v>
      </c>
    </row>
    <row r="107" spans="1:31" x14ac:dyDescent="0.15">
      <c r="A107">
        <f t="shared" si="27"/>
        <v>8</v>
      </c>
      <c r="B107" s="2">
        <v>9</v>
      </c>
      <c r="C107" s="3">
        <f t="shared" si="22"/>
        <v>8.75</v>
      </c>
      <c r="E107">
        <v>129.5</v>
      </c>
      <c r="F107">
        <v>5.5</v>
      </c>
      <c r="G107">
        <f t="shared" si="16"/>
        <v>140.5</v>
      </c>
      <c r="H107">
        <f t="shared" si="17"/>
        <v>135</v>
      </c>
      <c r="I107">
        <f t="shared" si="18"/>
        <v>124</v>
      </c>
      <c r="J107">
        <f t="shared" si="19"/>
        <v>118.5</v>
      </c>
      <c r="K107">
        <f t="shared" si="20"/>
        <v>115.75</v>
      </c>
      <c r="L107">
        <f t="shared" si="21"/>
        <v>113</v>
      </c>
      <c r="N107">
        <v>28.6</v>
      </c>
      <c r="O107">
        <v>5.93</v>
      </c>
      <c r="P107">
        <f t="shared" si="23"/>
        <v>40.46</v>
      </c>
      <c r="Q107">
        <f t="shared" si="24"/>
        <v>34.53</v>
      </c>
      <c r="R107">
        <f t="shared" si="25"/>
        <v>22.67</v>
      </c>
      <c r="S107">
        <f t="shared" si="26"/>
        <v>16.740000000000002</v>
      </c>
      <c r="AC107">
        <v>13.5</v>
      </c>
      <c r="AD107">
        <v>16.100000000000001</v>
      </c>
      <c r="AE107">
        <v>23</v>
      </c>
    </row>
    <row r="108" spans="1:31" x14ac:dyDescent="0.15">
      <c r="A108">
        <f t="shared" si="27"/>
        <v>8</v>
      </c>
      <c r="B108" s="2">
        <v>10</v>
      </c>
      <c r="C108" s="3">
        <f t="shared" si="22"/>
        <v>8.8333333333333339</v>
      </c>
      <c r="E108">
        <v>129.9</v>
      </c>
      <c r="F108">
        <v>5.5</v>
      </c>
      <c r="G108">
        <f t="shared" si="16"/>
        <v>140.9</v>
      </c>
      <c r="H108">
        <f t="shared" si="17"/>
        <v>135.4</v>
      </c>
      <c r="I108">
        <f t="shared" si="18"/>
        <v>124.4</v>
      </c>
      <c r="J108">
        <f t="shared" si="19"/>
        <v>118.9</v>
      </c>
      <c r="K108">
        <f t="shared" si="20"/>
        <v>116.15</v>
      </c>
      <c r="L108">
        <f t="shared" si="21"/>
        <v>113.4</v>
      </c>
      <c r="N108">
        <v>28.9</v>
      </c>
      <c r="O108">
        <v>6.03</v>
      </c>
      <c r="P108">
        <f t="shared" si="23"/>
        <v>40.96</v>
      </c>
      <c r="Q108">
        <f t="shared" si="24"/>
        <v>34.93</v>
      </c>
      <c r="R108">
        <f t="shared" si="25"/>
        <v>22.869999999999997</v>
      </c>
      <c r="S108">
        <f t="shared" si="26"/>
        <v>16.839999999999996</v>
      </c>
      <c r="AC108">
        <v>13.5</v>
      </c>
      <c r="AD108">
        <v>16.100000000000001</v>
      </c>
      <c r="AE108">
        <v>23.2</v>
      </c>
    </row>
    <row r="109" spans="1:31" x14ac:dyDescent="0.15">
      <c r="A109">
        <f t="shared" si="27"/>
        <v>8</v>
      </c>
      <c r="B109" s="2">
        <v>11</v>
      </c>
      <c r="C109" s="3">
        <f t="shared" si="22"/>
        <v>8.9166666666666661</v>
      </c>
      <c r="E109">
        <v>130.4</v>
      </c>
      <c r="F109">
        <v>5.6</v>
      </c>
      <c r="G109">
        <f t="shared" si="16"/>
        <v>141.6</v>
      </c>
      <c r="H109">
        <f t="shared" si="17"/>
        <v>136</v>
      </c>
      <c r="I109">
        <f t="shared" si="18"/>
        <v>124.80000000000001</v>
      </c>
      <c r="J109">
        <f t="shared" si="19"/>
        <v>119.2</v>
      </c>
      <c r="K109">
        <f t="shared" si="20"/>
        <v>116.4</v>
      </c>
      <c r="L109">
        <f t="shared" si="21"/>
        <v>113.60000000000001</v>
      </c>
      <c r="N109">
        <v>29.2</v>
      </c>
      <c r="O109">
        <v>6.13</v>
      </c>
      <c r="P109">
        <f t="shared" si="23"/>
        <v>41.46</v>
      </c>
      <c r="Q109">
        <f t="shared" si="24"/>
        <v>35.33</v>
      </c>
      <c r="R109">
        <f t="shared" si="25"/>
        <v>23.07</v>
      </c>
      <c r="S109">
        <f t="shared" si="26"/>
        <v>16.939999999999998</v>
      </c>
      <c r="AC109">
        <v>13.5</v>
      </c>
      <c r="AD109">
        <v>16.2</v>
      </c>
      <c r="AE109">
        <v>23.3</v>
      </c>
    </row>
    <row r="110" spans="1:31" x14ac:dyDescent="0.15">
      <c r="A110">
        <f t="shared" si="27"/>
        <v>9</v>
      </c>
      <c r="B110" s="2">
        <v>0</v>
      </c>
      <c r="C110" s="3">
        <f t="shared" si="22"/>
        <v>9</v>
      </c>
      <c r="E110">
        <v>130.9</v>
      </c>
      <c r="F110">
        <v>5.6</v>
      </c>
      <c r="G110">
        <f t="shared" si="16"/>
        <v>142.1</v>
      </c>
      <c r="H110">
        <f t="shared" si="17"/>
        <v>136.5</v>
      </c>
      <c r="I110">
        <f t="shared" si="18"/>
        <v>125.30000000000001</v>
      </c>
      <c r="J110">
        <f t="shared" si="19"/>
        <v>119.7</v>
      </c>
      <c r="K110">
        <f t="shared" si="20"/>
        <v>116.9</v>
      </c>
      <c r="L110">
        <f t="shared" si="21"/>
        <v>114.10000000000001</v>
      </c>
      <c r="N110">
        <v>29.5</v>
      </c>
      <c r="O110">
        <v>6.23</v>
      </c>
      <c r="P110">
        <f t="shared" si="23"/>
        <v>41.96</v>
      </c>
      <c r="Q110">
        <f t="shared" si="24"/>
        <v>35.730000000000004</v>
      </c>
      <c r="R110">
        <f t="shared" si="25"/>
        <v>23.27</v>
      </c>
      <c r="S110">
        <f t="shared" si="26"/>
        <v>17.04</v>
      </c>
      <c r="AC110">
        <v>13.6</v>
      </c>
      <c r="AD110">
        <v>16.2</v>
      </c>
      <c r="AE110">
        <v>23.4</v>
      </c>
    </row>
    <row r="111" spans="1:31" x14ac:dyDescent="0.15">
      <c r="A111">
        <f t="shared" si="27"/>
        <v>9</v>
      </c>
      <c r="B111" s="2">
        <v>1</v>
      </c>
      <c r="C111" s="3">
        <f t="shared" si="22"/>
        <v>9.0833333333333339</v>
      </c>
      <c r="E111">
        <v>131.30000000000001</v>
      </c>
      <c r="F111">
        <v>5.6</v>
      </c>
      <c r="G111">
        <f t="shared" si="16"/>
        <v>142.5</v>
      </c>
      <c r="H111">
        <f t="shared" si="17"/>
        <v>136.9</v>
      </c>
      <c r="I111">
        <f t="shared" si="18"/>
        <v>125.70000000000002</v>
      </c>
      <c r="J111">
        <f t="shared" si="19"/>
        <v>120.10000000000001</v>
      </c>
      <c r="K111">
        <f t="shared" si="20"/>
        <v>117.30000000000001</v>
      </c>
      <c r="L111">
        <f t="shared" si="21"/>
        <v>114.50000000000001</v>
      </c>
      <c r="N111">
        <v>29.7</v>
      </c>
      <c r="O111">
        <v>6.33</v>
      </c>
      <c r="P111">
        <f t="shared" si="23"/>
        <v>42.36</v>
      </c>
      <c r="Q111">
        <f t="shared" si="24"/>
        <v>36.03</v>
      </c>
      <c r="R111">
        <f t="shared" si="25"/>
        <v>23.369999999999997</v>
      </c>
      <c r="S111">
        <f t="shared" si="26"/>
        <v>17.04</v>
      </c>
      <c r="AC111">
        <v>13.6</v>
      </c>
      <c r="AD111">
        <v>16.3</v>
      </c>
      <c r="AE111">
        <v>23.5</v>
      </c>
    </row>
    <row r="112" spans="1:31" x14ac:dyDescent="0.15">
      <c r="A112">
        <f t="shared" si="27"/>
        <v>9</v>
      </c>
      <c r="B112" s="2">
        <v>2</v>
      </c>
      <c r="C112" s="3">
        <f t="shared" si="22"/>
        <v>9.1666666666666661</v>
      </c>
      <c r="E112">
        <v>131.80000000000001</v>
      </c>
      <c r="F112">
        <v>5.6</v>
      </c>
      <c r="G112">
        <f t="shared" si="16"/>
        <v>143</v>
      </c>
      <c r="H112">
        <f t="shared" si="17"/>
        <v>137.4</v>
      </c>
      <c r="I112">
        <f t="shared" si="18"/>
        <v>126.20000000000002</v>
      </c>
      <c r="J112">
        <f t="shared" si="19"/>
        <v>120.60000000000001</v>
      </c>
      <c r="K112">
        <f t="shared" si="20"/>
        <v>117.80000000000001</v>
      </c>
      <c r="L112">
        <f t="shared" si="21"/>
        <v>115.00000000000001</v>
      </c>
      <c r="N112">
        <v>30</v>
      </c>
      <c r="O112">
        <v>6.43</v>
      </c>
      <c r="P112">
        <f t="shared" si="23"/>
        <v>42.86</v>
      </c>
      <c r="Q112">
        <f t="shared" si="24"/>
        <v>36.43</v>
      </c>
      <c r="R112">
        <f t="shared" si="25"/>
        <v>23.57</v>
      </c>
      <c r="S112">
        <f t="shared" si="26"/>
        <v>17.14</v>
      </c>
      <c r="AC112">
        <v>13.6</v>
      </c>
      <c r="AD112">
        <v>16.3</v>
      </c>
      <c r="AE112">
        <v>23.7</v>
      </c>
    </row>
    <row r="113" spans="1:31" x14ac:dyDescent="0.15">
      <c r="A113">
        <f t="shared" si="27"/>
        <v>9</v>
      </c>
      <c r="B113" s="2">
        <v>3</v>
      </c>
      <c r="C113" s="3">
        <f t="shared" si="22"/>
        <v>9.25</v>
      </c>
      <c r="E113">
        <v>132.19999999999999</v>
      </c>
      <c r="F113">
        <v>5.7</v>
      </c>
      <c r="G113">
        <f t="shared" si="16"/>
        <v>143.6</v>
      </c>
      <c r="H113">
        <f t="shared" si="17"/>
        <v>137.89999999999998</v>
      </c>
      <c r="I113">
        <f t="shared" si="18"/>
        <v>126.49999999999999</v>
      </c>
      <c r="J113">
        <f t="shared" si="19"/>
        <v>120.79999999999998</v>
      </c>
      <c r="K113">
        <f t="shared" si="20"/>
        <v>117.94999999999999</v>
      </c>
      <c r="L113">
        <f t="shared" si="21"/>
        <v>115.1</v>
      </c>
      <c r="N113">
        <v>30.3</v>
      </c>
      <c r="O113">
        <v>6.53</v>
      </c>
      <c r="P113">
        <f t="shared" si="23"/>
        <v>43.36</v>
      </c>
      <c r="Q113">
        <f t="shared" si="24"/>
        <v>36.83</v>
      </c>
      <c r="R113">
        <f t="shared" si="25"/>
        <v>23.77</v>
      </c>
      <c r="S113">
        <f t="shared" si="26"/>
        <v>17.240000000000002</v>
      </c>
      <c r="AC113">
        <v>13.6</v>
      </c>
      <c r="AD113">
        <v>16.3</v>
      </c>
      <c r="AE113">
        <v>23.8</v>
      </c>
    </row>
    <row r="114" spans="1:31" x14ac:dyDescent="0.15">
      <c r="A114">
        <f t="shared" si="27"/>
        <v>9</v>
      </c>
      <c r="B114" s="2">
        <v>4</v>
      </c>
      <c r="C114" s="3">
        <f t="shared" si="22"/>
        <v>9.3333333333333339</v>
      </c>
      <c r="E114">
        <v>132.69999999999999</v>
      </c>
      <c r="F114">
        <v>5.7</v>
      </c>
      <c r="G114">
        <f t="shared" si="16"/>
        <v>144.1</v>
      </c>
      <c r="H114">
        <f t="shared" si="17"/>
        <v>138.39999999999998</v>
      </c>
      <c r="I114">
        <f t="shared" si="18"/>
        <v>126.99999999999999</v>
      </c>
      <c r="J114">
        <f t="shared" si="19"/>
        <v>121.29999999999998</v>
      </c>
      <c r="K114">
        <f t="shared" si="20"/>
        <v>118.44999999999999</v>
      </c>
      <c r="L114">
        <f t="shared" si="21"/>
        <v>115.6</v>
      </c>
      <c r="N114">
        <v>30.6</v>
      </c>
      <c r="O114">
        <v>6.63</v>
      </c>
      <c r="P114">
        <f t="shared" si="23"/>
        <v>43.86</v>
      </c>
      <c r="Q114">
        <f t="shared" si="24"/>
        <v>37.230000000000004</v>
      </c>
      <c r="R114">
        <f t="shared" si="25"/>
        <v>23.970000000000002</v>
      </c>
      <c r="S114">
        <f t="shared" si="26"/>
        <v>17.340000000000003</v>
      </c>
      <c r="AC114">
        <v>13.7</v>
      </c>
      <c r="AD114">
        <v>16.399999999999999</v>
      </c>
      <c r="AE114">
        <v>23.9</v>
      </c>
    </row>
    <row r="115" spans="1:31" x14ac:dyDescent="0.15">
      <c r="A115">
        <f t="shared" si="27"/>
        <v>9</v>
      </c>
      <c r="B115" s="2">
        <v>5</v>
      </c>
      <c r="C115" s="3">
        <f t="shared" si="22"/>
        <v>9.4166666666666661</v>
      </c>
      <c r="E115">
        <v>133.1</v>
      </c>
      <c r="F115">
        <v>5.7</v>
      </c>
      <c r="G115">
        <f t="shared" si="16"/>
        <v>144.5</v>
      </c>
      <c r="H115">
        <f t="shared" si="17"/>
        <v>138.79999999999998</v>
      </c>
      <c r="I115">
        <f t="shared" si="18"/>
        <v>127.39999999999999</v>
      </c>
      <c r="J115">
        <f t="shared" si="19"/>
        <v>121.69999999999999</v>
      </c>
      <c r="K115">
        <f t="shared" si="20"/>
        <v>118.85</v>
      </c>
      <c r="L115">
        <f t="shared" si="21"/>
        <v>116</v>
      </c>
      <c r="N115">
        <v>30.9</v>
      </c>
      <c r="O115">
        <v>6.73</v>
      </c>
      <c r="P115">
        <f t="shared" si="23"/>
        <v>44.36</v>
      </c>
      <c r="Q115">
        <f t="shared" si="24"/>
        <v>37.629999999999995</v>
      </c>
      <c r="R115">
        <f t="shared" si="25"/>
        <v>24.169999999999998</v>
      </c>
      <c r="S115">
        <f t="shared" si="26"/>
        <v>17.439999999999998</v>
      </c>
      <c r="AC115">
        <v>13.7</v>
      </c>
      <c r="AD115">
        <v>16.399999999999999</v>
      </c>
      <c r="AE115">
        <v>24</v>
      </c>
    </row>
    <row r="116" spans="1:31" x14ac:dyDescent="0.15">
      <c r="A116">
        <f t="shared" si="27"/>
        <v>9</v>
      </c>
      <c r="B116" s="2">
        <v>6</v>
      </c>
      <c r="C116" s="3">
        <f t="shared" si="22"/>
        <v>9.5</v>
      </c>
      <c r="E116">
        <v>133.6</v>
      </c>
      <c r="F116">
        <v>5.7</v>
      </c>
      <c r="G116">
        <f t="shared" si="16"/>
        <v>145</v>
      </c>
      <c r="H116">
        <f t="shared" si="17"/>
        <v>139.29999999999998</v>
      </c>
      <c r="I116">
        <f t="shared" si="18"/>
        <v>127.89999999999999</v>
      </c>
      <c r="J116">
        <f t="shared" si="19"/>
        <v>122.19999999999999</v>
      </c>
      <c r="K116">
        <f t="shared" si="20"/>
        <v>119.35</v>
      </c>
      <c r="L116">
        <f t="shared" si="21"/>
        <v>116.5</v>
      </c>
      <c r="N116">
        <v>31.2</v>
      </c>
      <c r="O116">
        <v>6.83</v>
      </c>
      <c r="P116">
        <f t="shared" si="23"/>
        <v>44.86</v>
      </c>
      <c r="Q116">
        <f t="shared" si="24"/>
        <v>38.03</v>
      </c>
      <c r="R116">
        <f t="shared" si="25"/>
        <v>24.369999999999997</v>
      </c>
      <c r="S116">
        <f t="shared" si="26"/>
        <v>17.54</v>
      </c>
      <c r="AC116">
        <v>13.7</v>
      </c>
      <c r="AD116">
        <v>16.5</v>
      </c>
      <c r="AE116">
        <v>24.1</v>
      </c>
    </row>
    <row r="117" spans="1:31" x14ac:dyDescent="0.15">
      <c r="A117">
        <f t="shared" si="27"/>
        <v>9</v>
      </c>
      <c r="B117" s="2">
        <v>7</v>
      </c>
      <c r="C117" s="3">
        <f t="shared" si="22"/>
        <v>9.5833333333333339</v>
      </c>
      <c r="E117">
        <v>134.1</v>
      </c>
      <c r="F117">
        <v>5.8</v>
      </c>
      <c r="G117">
        <f t="shared" si="16"/>
        <v>145.69999999999999</v>
      </c>
      <c r="H117">
        <f t="shared" si="17"/>
        <v>139.9</v>
      </c>
      <c r="I117">
        <f t="shared" si="18"/>
        <v>128.29999999999998</v>
      </c>
      <c r="J117">
        <f t="shared" si="19"/>
        <v>122.5</v>
      </c>
      <c r="K117">
        <f t="shared" si="20"/>
        <v>119.6</v>
      </c>
      <c r="L117">
        <f t="shared" si="21"/>
        <v>116.69999999999999</v>
      </c>
      <c r="N117">
        <v>31.5</v>
      </c>
      <c r="O117">
        <v>6.92</v>
      </c>
      <c r="P117">
        <f t="shared" si="23"/>
        <v>45.34</v>
      </c>
      <c r="Q117">
        <f t="shared" si="24"/>
        <v>38.42</v>
      </c>
      <c r="R117">
        <f t="shared" si="25"/>
        <v>24.58</v>
      </c>
      <c r="S117">
        <f t="shared" si="26"/>
        <v>17.66</v>
      </c>
      <c r="AC117">
        <v>13.7</v>
      </c>
      <c r="AD117">
        <v>16.5</v>
      </c>
      <c r="AE117">
        <v>24.3</v>
      </c>
    </row>
    <row r="118" spans="1:31" x14ac:dyDescent="0.15">
      <c r="A118">
        <f t="shared" si="27"/>
        <v>9</v>
      </c>
      <c r="B118" s="2">
        <v>8</v>
      </c>
      <c r="C118" s="3">
        <f t="shared" si="22"/>
        <v>9.6666666666666661</v>
      </c>
      <c r="E118">
        <v>134.5</v>
      </c>
      <c r="F118">
        <v>5.8</v>
      </c>
      <c r="G118">
        <f t="shared" si="16"/>
        <v>146.1</v>
      </c>
      <c r="H118">
        <f t="shared" si="17"/>
        <v>140.30000000000001</v>
      </c>
      <c r="I118">
        <f t="shared" si="18"/>
        <v>128.69999999999999</v>
      </c>
      <c r="J118">
        <f t="shared" si="19"/>
        <v>122.9</v>
      </c>
      <c r="K118">
        <f t="shared" si="20"/>
        <v>120</v>
      </c>
      <c r="L118">
        <f t="shared" si="21"/>
        <v>117.1</v>
      </c>
      <c r="N118">
        <v>31.9</v>
      </c>
      <c r="O118">
        <v>7.02</v>
      </c>
      <c r="P118">
        <f t="shared" si="23"/>
        <v>45.94</v>
      </c>
      <c r="Q118">
        <f t="shared" si="24"/>
        <v>38.92</v>
      </c>
      <c r="R118">
        <f t="shared" si="25"/>
        <v>24.88</v>
      </c>
      <c r="S118">
        <f t="shared" si="26"/>
        <v>17.86</v>
      </c>
      <c r="AC118">
        <v>13.8</v>
      </c>
      <c r="AD118">
        <v>16.600000000000001</v>
      </c>
      <c r="AE118">
        <v>24.4</v>
      </c>
    </row>
    <row r="119" spans="1:31" x14ac:dyDescent="0.15">
      <c r="A119">
        <f t="shared" si="27"/>
        <v>9</v>
      </c>
      <c r="B119" s="2">
        <v>9</v>
      </c>
      <c r="C119" s="3">
        <f t="shared" si="22"/>
        <v>9.75</v>
      </c>
      <c r="E119">
        <v>135</v>
      </c>
      <c r="F119">
        <v>5.8</v>
      </c>
      <c r="G119">
        <f t="shared" si="16"/>
        <v>146.6</v>
      </c>
      <c r="H119">
        <f t="shared" si="17"/>
        <v>140.80000000000001</v>
      </c>
      <c r="I119">
        <f t="shared" si="18"/>
        <v>129.19999999999999</v>
      </c>
      <c r="J119">
        <f t="shared" si="19"/>
        <v>123.4</v>
      </c>
      <c r="K119">
        <f t="shared" si="20"/>
        <v>120.5</v>
      </c>
      <c r="L119">
        <f t="shared" si="21"/>
        <v>117.6</v>
      </c>
      <c r="N119">
        <v>32.200000000000003</v>
      </c>
      <c r="O119">
        <v>7.11</v>
      </c>
      <c r="P119">
        <f t="shared" si="23"/>
        <v>46.42</v>
      </c>
      <c r="Q119">
        <f t="shared" si="24"/>
        <v>39.31</v>
      </c>
      <c r="R119">
        <f t="shared" si="25"/>
        <v>25.090000000000003</v>
      </c>
      <c r="S119">
        <f t="shared" si="26"/>
        <v>17.980000000000004</v>
      </c>
      <c r="AC119">
        <v>13.8</v>
      </c>
      <c r="AD119">
        <v>16.600000000000001</v>
      </c>
      <c r="AE119">
        <v>24.5</v>
      </c>
    </row>
    <row r="120" spans="1:31" x14ac:dyDescent="0.15">
      <c r="A120">
        <f t="shared" si="27"/>
        <v>9</v>
      </c>
      <c r="B120" s="2">
        <v>10</v>
      </c>
      <c r="C120" s="3">
        <f t="shared" si="22"/>
        <v>9.8333333333333339</v>
      </c>
      <c r="E120">
        <v>135.4</v>
      </c>
      <c r="F120">
        <v>5.9</v>
      </c>
      <c r="G120">
        <f t="shared" si="16"/>
        <v>147.20000000000002</v>
      </c>
      <c r="H120">
        <f t="shared" si="17"/>
        <v>141.30000000000001</v>
      </c>
      <c r="I120">
        <f t="shared" si="18"/>
        <v>129.5</v>
      </c>
      <c r="J120">
        <f t="shared" si="19"/>
        <v>123.60000000000001</v>
      </c>
      <c r="K120">
        <f t="shared" si="20"/>
        <v>120.65</v>
      </c>
      <c r="L120">
        <f t="shared" si="21"/>
        <v>117.7</v>
      </c>
      <c r="N120">
        <v>32.5</v>
      </c>
      <c r="O120">
        <v>7.2</v>
      </c>
      <c r="P120">
        <f t="shared" si="23"/>
        <v>46.9</v>
      </c>
      <c r="Q120">
        <f t="shared" si="24"/>
        <v>39.700000000000003</v>
      </c>
      <c r="R120">
        <f t="shared" si="25"/>
        <v>25.3</v>
      </c>
      <c r="S120">
        <f t="shared" si="26"/>
        <v>18.100000000000001</v>
      </c>
      <c r="AC120">
        <v>13.8</v>
      </c>
      <c r="AD120">
        <v>16.7</v>
      </c>
      <c r="AE120">
        <v>24.6</v>
      </c>
    </row>
    <row r="121" spans="1:31" x14ac:dyDescent="0.15">
      <c r="A121">
        <f t="shared" si="27"/>
        <v>9</v>
      </c>
      <c r="B121" s="2">
        <v>11</v>
      </c>
      <c r="C121" s="3">
        <f t="shared" si="22"/>
        <v>9.9166666666666661</v>
      </c>
      <c r="E121">
        <v>135.9</v>
      </c>
      <c r="F121">
        <v>5.9</v>
      </c>
      <c r="G121">
        <f t="shared" si="16"/>
        <v>147.70000000000002</v>
      </c>
      <c r="H121">
        <f t="shared" si="17"/>
        <v>141.80000000000001</v>
      </c>
      <c r="I121">
        <f t="shared" si="18"/>
        <v>130</v>
      </c>
      <c r="J121">
        <f t="shared" si="19"/>
        <v>124.10000000000001</v>
      </c>
      <c r="K121">
        <f t="shared" si="20"/>
        <v>121.15</v>
      </c>
      <c r="L121">
        <f t="shared" si="21"/>
        <v>118.2</v>
      </c>
      <c r="N121">
        <v>32.799999999999997</v>
      </c>
      <c r="O121">
        <v>7.29</v>
      </c>
      <c r="P121">
        <f t="shared" si="23"/>
        <v>47.379999999999995</v>
      </c>
      <c r="Q121">
        <f t="shared" si="24"/>
        <v>40.089999999999996</v>
      </c>
      <c r="R121">
        <f t="shared" si="25"/>
        <v>25.509999999999998</v>
      </c>
      <c r="S121">
        <f t="shared" si="26"/>
        <v>18.22</v>
      </c>
      <c r="AC121">
        <v>13.9</v>
      </c>
      <c r="AD121">
        <v>16.7</v>
      </c>
      <c r="AE121">
        <v>24.7</v>
      </c>
    </row>
    <row r="122" spans="1:31" x14ac:dyDescent="0.15">
      <c r="A122">
        <f t="shared" si="27"/>
        <v>10</v>
      </c>
      <c r="B122" s="2">
        <v>0</v>
      </c>
      <c r="C122" s="3">
        <f t="shared" si="22"/>
        <v>10</v>
      </c>
      <c r="E122">
        <v>136.4</v>
      </c>
      <c r="F122">
        <v>5.9</v>
      </c>
      <c r="G122">
        <f t="shared" si="16"/>
        <v>148.20000000000002</v>
      </c>
      <c r="H122">
        <f t="shared" si="17"/>
        <v>142.30000000000001</v>
      </c>
      <c r="I122">
        <f t="shared" si="18"/>
        <v>130.5</v>
      </c>
      <c r="J122">
        <f t="shared" si="19"/>
        <v>124.60000000000001</v>
      </c>
      <c r="K122">
        <f t="shared" si="20"/>
        <v>121.65</v>
      </c>
      <c r="L122">
        <f t="shared" si="21"/>
        <v>118.7</v>
      </c>
      <c r="N122">
        <v>33.200000000000003</v>
      </c>
      <c r="O122">
        <v>7.39</v>
      </c>
      <c r="P122">
        <f t="shared" si="23"/>
        <v>47.980000000000004</v>
      </c>
      <c r="Q122">
        <f t="shared" si="24"/>
        <v>40.590000000000003</v>
      </c>
      <c r="R122">
        <f t="shared" si="25"/>
        <v>25.810000000000002</v>
      </c>
      <c r="S122">
        <f t="shared" si="26"/>
        <v>18.420000000000002</v>
      </c>
      <c r="AC122">
        <v>13.9</v>
      </c>
      <c r="AD122">
        <v>16.8</v>
      </c>
      <c r="AE122">
        <v>24.8</v>
      </c>
    </row>
    <row r="123" spans="1:31" x14ac:dyDescent="0.15">
      <c r="A123">
        <f t="shared" si="27"/>
        <v>10</v>
      </c>
      <c r="B123" s="2">
        <v>1</v>
      </c>
      <c r="C123" s="3">
        <f t="shared" si="22"/>
        <v>10.083333333333334</v>
      </c>
      <c r="E123">
        <v>136.80000000000001</v>
      </c>
      <c r="F123">
        <v>6</v>
      </c>
      <c r="G123">
        <f t="shared" si="16"/>
        <v>148.80000000000001</v>
      </c>
      <c r="H123">
        <f t="shared" si="17"/>
        <v>142.80000000000001</v>
      </c>
      <c r="I123">
        <f t="shared" si="18"/>
        <v>130.80000000000001</v>
      </c>
      <c r="J123">
        <f t="shared" si="19"/>
        <v>124.80000000000001</v>
      </c>
      <c r="K123">
        <f t="shared" si="20"/>
        <v>121.80000000000001</v>
      </c>
      <c r="L123">
        <f t="shared" si="21"/>
        <v>118.80000000000001</v>
      </c>
      <c r="N123">
        <v>33.5</v>
      </c>
      <c r="O123">
        <v>7.48</v>
      </c>
      <c r="P123">
        <f t="shared" si="23"/>
        <v>48.46</v>
      </c>
      <c r="Q123">
        <f t="shared" si="24"/>
        <v>40.980000000000004</v>
      </c>
      <c r="R123">
        <f t="shared" si="25"/>
        <v>26.02</v>
      </c>
      <c r="S123">
        <f t="shared" si="26"/>
        <v>18.54</v>
      </c>
      <c r="AC123">
        <v>13.9</v>
      </c>
      <c r="AD123">
        <v>16.8</v>
      </c>
      <c r="AE123">
        <v>24.9</v>
      </c>
    </row>
    <row r="124" spans="1:31" x14ac:dyDescent="0.15">
      <c r="A124">
        <f t="shared" si="27"/>
        <v>10</v>
      </c>
      <c r="B124" s="2">
        <v>2</v>
      </c>
      <c r="C124" s="3">
        <f t="shared" si="22"/>
        <v>10.166666666666666</v>
      </c>
      <c r="E124">
        <v>137.30000000000001</v>
      </c>
      <c r="F124">
        <v>6</v>
      </c>
      <c r="G124">
        <f t="shared" si="16"/>
        <v>149.30000000000001</v>
      </c>
      <c r="H124">
        <f t="shared" si="17"/>
        <v>143.30000000000001</v>
      </c>
      <c r="I124">
        <f t="shared" si="18"/>
        <v>131.30000000000001</v>
      </c>
      <c r="J124">
        <f t="shared" si="19"/>
        <v>125.30000000000001</v>
      </c>
      <c r="K124">
        <f t="shared" si="20"/>
        <v>122.30000000000001</v>
      </c>
      <c r="L124">
        <f t="shared" si="21"/>
        <v>119.30000000000001</v>
      </c>
      <c r="N124">
        <v>33.799999999999997</v>
      </c>
      <c r="O124">
        <v>7.57</v>
      </c>
      <c r="P124">
        <f t="shared" si="23"/>
        <v>48.94</v>
      </c>
      <c r="Q124">
        <f t="shared" si="24"/>
        <v>41.37</v>
      </c>
      <c r="R124">
        <f t="shared" si="25"/>
        <v>26.229999999999997</v>
      </c>
      <c r="S124">
        <f t="shared" si="26"/>
        <v>18.659999999999997</v>
      </c>
      <c r="AC124">
        <v>14</v>
      </c>
      <c r="AD124">
        <v>16.899999999999999</v>
      </c>
      <c r="AE124">
        <v>25</v>
      </c>
    </row>
    <row r="125" spans="1:31" x14ac:dyDescent="0.15">
      <c r="A125">
        <f t="shared" si="27"/>
        <v>10</v>
      </c>
      <c r="B125" s="2">
        <v>3</v>
      </c>
      <c r="C125" s="3">
        <f t="shared" si="22"/>
        <v>10.25</v>
      </c>
      <c r="E125">
        <v>137.69999999999999</v>
      </c>
      <c r="F125">
        <v>6</v>
      </c>
      <c r="G125">
        <f t="shared" si="16"/>
        <v>149.69999999999999</v>
      </c>
      <c r="H125">
        <f t="shared" si="17"/>
        <v>143.69999999999999</v>
      </c>
      <c r="I125">
        <f t="shared" si="18"/>
        <v>131.69999999999999</v>
      </c>
      <c r="J125">
        <f t="shared" si="19"/>
        <v>125.69999999999999</v>
      </c>
      <c r="K125">
        <f t="shared" si="20"/>
        <v>122.69999999999999</v>
      </c>
      <c r="L125">
        <f t="shared" si="21"/>
        <v>119.69999999999999</v>
      </c>
      <c r="N125">
        <v>34.1</v>
      </c>
      <c r="O125">
        <v>7.66</v>
      </c>
      <c r="P125">
        <f t="shared" si="23"/>
        <v>49.42</v>
      </c>
      <c r="Q125">
        <f t="shared" si="24"/>
        <v>41.760000000000005</v>
      </c>
      <c r="R125">
        <f t="shared" si="25"/>
        <v>26.44</v>
      </c>
      <c r="S125">
        <f t="shared" si="26"/>
        <v>18.78</v>
      </c>
      <c r="AC125">
        <v>14</v>
      </c>
      <c r="AD125">
        <v>16.899999999999999</v>
      </c>
      <c r="AE125">
        <v>25.1</v>
      </c>
    </row>
    <row r="126" spans="1:31" x14ac:dyDescent="0.15">
      <c r="A126">
        <f t="shared" si="27"/>
        <v>10</v>
      </c>
      <c r="B126" s="2">
        <v>4</v>
      </c>
      <c r="C126" s="3">
        <f t="shared" si="22"/>
        <v>10.333333333333334</v>
      </c>
      <c r="E126">
        <v>138.19999999999999</v>
      </c>
      <c r="F126">
        <v>6.1</v>
      </c>
      <c r="G126">
        <f t="shared" si="16"/>
        <v>150.39999999999998</v>
      </c>
      <c r="H126">
        <f t="shared" si="17"/>
        <v>144.29999999999998</v>
      </c>
      <c r="I126">
        <f t="shared" si="18"/>
        <v>132.1</v>
      </c>
      <c r="J126">
        <f t="shared" si="19"/>
        <v>125.99999999999999</v>
      </c>
      <c r="K126">
        <f t="shared" si="20"/>
        <v>122.94999999999999</v>
      </c>
      <c r="L126">
        <f t="shared" si="21"/>
        <v>119.89999999999999</v>
      </c>
      <c r="N126">
        <v>34.5</v>
      </c>
      <c r="O126">
        <v>7.76</v>
      </c>
      <c r="P126">
        <f t="shared" si="23"/>
        <v>50.019999999999996</v>
      </c>
      <c r="Q126">
        <f t="shared" si="24"/>
        <v>42.26</v>
      </c>
      <c r="R126">
        <f t="shared" si="25"/>
        <v>26.740000000000002</v>
      </c>
      <c r="S126">
        <f t="shared" si="26"/>
        <v>18.98</v>
      </c>
      <c r="AC126">
        <v>14</v>
      </c>
      <c r="AD126">
        <v>17</v>
      </c>
      <c r="AE126">
        <v>25.2</v>
      </c>
    </row>
    <row r="127" spans="1:31" x14ac:dyDescent="0.15">
      <c r="A127">
        <f t="shared" si="27"/>
        <v>10</v>
      </c>
      <c r="B127" s="2">
        <v>5</v>
      </c>
      <c r="C127" s="3">
        <f t="shared" si="22"/>
        <v>10.416666666666666</v>
      </c>
      <c r="E127">
        <v>138.6</v>
      </c>
      <c r="F127">
        <v>6.1</v>
      </c>
      <c r="G127">
        <f t="shared" si="16"/>
        <v>150.79999999999998</v>
      </c>
      <c r="H127">
        <f t="shared" si="17"/>
        <v>144.69999999999999</v>
      </c>
      <c r="I127">
        <f t="shared" si="18"/>
        <v>132.5</v>
      </c>
      <c r="J127">
        <f t="shared" si="19"/>
        <v>126.39999999999999</v>
      </c>
      <c r="K127">
        <f t="shared" si="20"/>
        <v>123.35</v>
      </c>
      <c r="L127">
        <f t="shared" si="21"/>
        <v>120.3</v>
      </c>
      <c r="N127">
        <v>34.799999999999997</v>
      </c>
      <c r="O127">
        <v>7.85</v>
      </c>
      <c r="P127">
        <f t="shared" si="23"/>
        <v>50.5</v>
      </c>
      <c r="Q127">
        <f t="shared" si="24"/>
        <v>42.65</v>
      </c>
      <c r="R127">
        <f t="shared" si="25"/>
        <v>26.949999999999996</v>
      </c>
      <c r="S127">
        <f t="shared" si="26"/>
        <v>19.099999999999998</v>
      </c>
      <c r="AC127">
        <v>14</v>
      </c>
      <c r="AD127">
        <v>17</v>
      </c>
      <c r="AE127">
        <v>25.3</v>
      </c>
    </row>
    <row r="128" spans="1:31" x14ac:dyDescent="0.15">
      <c r="A128">
        <f t="shared" si="27"/>
        <v>10</v>
      </c>
      <c r="B128" s="2">
        <v>6</v>
      </c>
      <c r="C128" s="3">
        <f t="shared" si="22"/>
        <v>10.5</v>
      </c>
      <c r="E128">
        <v>139.1</v>
      </c>
      <c r="F128">
        <v>6.1</v>
      </c>
      <c r="G128">
        <f t="shared" si="16"/>
        <v>151.29999999999998</v>
      </c>
      <c r="H128">
        <f t="shared" si="17"/>
        <v>145.19999999999999</v>
      </c>
      <c r="I128">
        <f t="shared" si="18"/>
        <v>133</v>
      </c>
      <c r="J128">
        <f t="shared" si="19"/>
        <v>126.89999999999999</v>
      </c>
      <c r="K128">
        <f t="shared" si="20"/>
        <v>123.85</v>
      </c>
      <c r="L128">
        <f t="shared" si="21"/>
        <v>120.8</v>
      </c>
      <c r="N128">
        <v>35.1</v>
      </c>
      <c r="O128">
        <v>7.94</v>
      </c>
      <c r="P128">
        <f t="shared" si="23"/>
        <v>50.980000000000004</v>
      </c>
      <c r="Q128">
        <f t="shared" si="24"/>
        <v>43.04</v>
      </c>
      <c r="R128">
        <f t="shared" si="25"/>
        <v>27.16</v>
      </c>
      <c r="S128">
        <f t="shared" si="26"/>
        <v>19.22</v>
      </c>
      <c r="AC128">
        <v>14.1</v>
      </c>
      <c r="AD128">
        <v>17.100000000000001</v>
      </c>
      <c r="AE128">
        <v>25.4</v>
      </c>
    </row>
    <row r="129" spans="1:31" x14ac:dyDescent="0.15">
      <c r="A129">
        <f t="shared" si="27"/>
        <v>10</v>
      </c>
      <c r="B129" s="2">
        <v>7</v>
      </c>
      <c r="C129" s="3">
        <f t="shared" si="22"/>
        <v>10.583333333333334</v>
      </c>
      <c r="E129">
        <v>139.6</v>
      </c>
      <c r="F129">
        <v>6.2</v>
      </c>
      <c r="G129">
        <f t="shared" si="16"/>
        <v>152</v>
      </c>
      <c r="H129">
        <f t="shared" si="17"/>
        <v>145.79999999999998</v>
      </c>
      <c r="I129">
        <f t="shared" si="18"/>
        <v>133.4</v>
      </c>
      <c r="J129">
        <f t="shared" si="19"/>
        <v>127.19999999999999</v>
      </c>
      <c r="K129">
        <f t="shared" si="20"/>
        <v>124.1</v>
      </c>
      <c r="L129">
        <f t="shared" si="21"/>
        <v>121</v>
      </c>
      <c r="N129">
        <v>35.5</v>
      </c>
      <c r="O129">
        <v>8.0399999999999991</v>
      </c>
      <c r="P129">
        <f t="shared" si="23"/>
        <v>51.58</v>
      </c>
      <c r="Q129">
        <f t="shared" si="24"/>
        <v>43.54</v>
      </c>
      <c r="R129">
        <f t="shared" si="25"/>
        <v>27.46</v>
      </c>
      <c r="S129">
        <f t="shared" si="26"/>
        <v>19.420000000000002</v>
      </c>
      <c r="AC129">
        <v>14.1</v>
      </c>
      <c r="AD129">
        <v>17.100000000000001</v>
      </c>
      <c r="AE129">
        <v>25.5</v>
      </c>
    </row>
    <row r="130" spans="1:31" x14ac:dyDescent="0.15">
      <c r="A130">
        <f t="shared" si="27"/>
        <v>10</v>
      </c>
      <c r="B130" s="2">
        <v>8</v>
      </c>
      <c r="C130" s="3">
        <f t="shared" si="22"/>
        <v>10.666666666666666</v>
      </c>
      <c r="E130">
        <v>140.1</v>
      </c>
      <c r="F130">
        <v>6.3</v>
      </c>
      <c r="G130">
        <f t="shared" ref="G130:G193" si="28">$E130+2*$F130</f>
        <v>152.69999999999999</v>
      </c>
      <c r="H130">
        <f t="shared" ref="H130:H193" si="29">$E130+$F130</f>
        <v>146.4</v>
      </c>
      <c r="I130">
        <f t="shared" ref="I130:I193" si="30">$E130-$F130</f>
        <v>133.79999999999998</v>
      </c>
      <c r="J130">
        <f t="shared" ref="J130:J193" si="31">$E130-2*$F130</f>
        <v>127.5</v>
      </c>
      <c r="K130">
        <f t="shared" ref="K130:K193" si="32">$E130-2.5*$F130</f>
        <v>124.35</v>
      </c>
      <c r="L130">
        <f t="shared" ref="L130:L193" si="33">$E130-3*$F130</f>
        <v>121.19999999999999</v>
      </c>
      <c r="N130">
        <v>35.799999999999997</v>
      </c>
      <c r="O130">
        <v>8.14</v>
      </c>
      <c r="P130">
        <f t="shared" si="23"/>
        <v>52.08</v>
      </c>
      <c r="Q130">
        <f t="shared" si="24"/>
        <v>43.94</v>
      </c>
      <c r="R130">
        <f t="shared" si="25"/>
        <v>27.659999999999997</v>
      </c>
      <c r="S130">
        <f t="shared" si="26"/>
        <v>19.519999999999996</v>
      </c>
      <c r="AC130">
        <v>14.2</v>
      </c>
      <c r="AD130">
        <v>17.2</v>
      </c>
      <c r="AE130">
        <v>25.5</v>
      </c>
    </row>
    <row r="131" spans="1:31" x14ac:dyDescent="0.15">
      <c r="A131">
        <f t="shared" si="27"/>
        <v>10</v>
      </c>
      <c r="B131" s="2">
        <v>9</v>
      </c>
      <c r="C131" s="3">
        <f t="shared" ref="C131:C194" si="34">A131+B131/12</f>
        <v>10.75</v>
      </c>
      <c r="E131">
        <v>140.69999999999999</v>
      </c>
      <c r="F131">
        <v>6.4</v>
      </c>
      <c r="G131">
        <f t="shared" si="28"/>
        <v>153.5</v>
      </c>
      <c r="H131">
        <f t="shared" si="29"/>
        <v>147.1</v>
      </c>
      <c r="I131">
        <f t="shared" si="30"/>
        <v>134.29999999999998</v>
      </c>
      <c r="J131">
        <f t="shared" si="31"/>
        <v>127.89999999999999</v>
      </c>
      <c r="K131">
        <f t="shared" si="32"/>
        <v>124.69999999999999</v>
      </c>
      <c r="L131">
        <f t="shared" si="33"/>
        <v>121.49999999999999</v>
      </c>
      <c r="N131">
        <v>36.200000000000003</v>
      </c>
      <c r="O131">
        <v>8.24</v>
      </c>
      <c r="P131">
        <f t="shared" ref="P131:P194" si="35">$N131+2*$O131</f>
        <v>52.680000000000007</v>
      </c>
      <c r="Q131">
        <f t="shared" ref="Q131:Q194" si="36">$N131+$O131</f>
        <v>44.440000000000005</v>
      </c>
      <c r="R131">
        <f t="shared" ref="R131:R194" si="37">$N131-$O131</f>
        <v>27.96</v>
      </c>
      <c r="S131">
        <f t="shared" ref="S131:S194" si="38">$N131-2*$O131</f>
        <v>19.720000000000002</v>
      </c>
      <c r="AC131">
        <v>14.2</v>
      </c>
      <c r="AD131">
        <v>17.2</v>
      </c>
      <c r="AE131">
        <v>25.6</v>
      </c>
    </row>
    <row r="132" spans="1:31" x14ac:dyDescent="0.15">
      <c r="A132">
        <f t="shared" si="27"/>
        <v>10</v>
      </c>
      <c r="B132" s="2">
        <v>10</v>
      </c>
      <c r="C132" s="3">
        <f t="shared" si="34"/>
        <v>10.833333333333334</v>
      </c>
      <c r="E132">
        <v>141.19999999999999</v>
      </c>
      <c r="F132">
        <v>6.5</v>
      </c>
      <c r="G132">
        <f t="shared" si="28"/>
        <v>154.19999999999999</v>
      </c>
      <c r="H132">
        <f t="shared" si="29"/>
        <v>147.69999999999999</v>
      </c>
      <c r="I132">
        <f t="shared" si="30"/>
        <v>134.69999999999999</v>
      </c>
      <c r="J132">
        <f t="shared" si="31"/>
        <v>128.19999999999999</v>
      </c>
      <c r="K132">
        <f t="shared" si="32"/>
        <v>124.94999999999999</v>
      </c>
      <c r="L132">
        <f t="shared" si="33"/>
        <v>121.69999999999999</v>
      </c>
      <c r="N132">
        <v>36.5</v>
      </c>
      <c r="O132">
        <v>8.34</v>
      </c>
      <c r="P132">
        <f t="shared" si="35"/>
        <v>53.18</v>
      </c>
      <c r="Q132">
        <f t="shared" si="36"/>
        <v>44.84</v>
      </c>
      <c r="R132">
        <f t="shared" si="37"/>
        <v>28.16</v>
      </c>
      <c r="S132">
        <f t="shared" si="38"/>
        <v>19.82</v>
      </c>
      <c r="AC132">
        <v>14.2</v>
      </c>
      <c r="AD132">
        <v>17.3</v>
      </c>
      <c r="AE132">
        <v>25.7</v>
      </c>
    </row>
    <row r="133" spans="1:31" x14ac:dyDescent="0.15">
      <c r="A133">
        <f t="shared" si="27"/>
        <v>10</v>
      </c>
      <c r="B133" s="2">
        <v>11</v>
      </c>
      <c r="C133" s="3">
        <f t="shared" si="34"/>
        <v>10.916666666666666</v>
      </c>
      <c r="E133">
        <v>141.69999999999999</v>
      </c>
      <c r="F133">
        <v>6.6</v>
      </c>
      <c r="G133">
        <f t="shared" si="28"/>
        <v>154.89999999999998</v>
      </c>
      <c r="H133">
        <f t="shared" si="29"/>
        <v>148.29999999999998</v>
      </c>
      <c r="I133">
        <f t="shared" si="30"/>
        <v>135.1</v>
      </c>
      <c r="J133">
        <f t="shared" si="31"/>
        <v>128.5</v>
      </c>
      <c r="K133">
        <f t="shared" si="32"/>
        <v>125.19999999999999</v>
      </c>
      <c r="L133">
        <f t="shared" si="33"/>
        <v>121.89999999999999</v>
      </c>
      <c r="N133">
        <v>36.9</v>
      </c>
      <c r="O133">
        <v>8.44</v>
      </c>
      <c r="P133">
        <f t="shared" si="35"/>
        <v>53.78</v>
      </c>
      <c r="Q133">
        <f t="shared" si="36"/>
        <v>45.339999999999996</v>
      </c>
      <c r="R133">
        <f t="shared" si="37"/>
        <v>28.46</v>
      </c>
      <c r="S133">
        <f t="shared" si="38"/>
        <v>20.02</v>
      </c>
      <c r="AC133">
        <v>14.3</v>
      </c>
      <c r="AD133">
        <v>17.399999999999999</v>
      </c>
      <c r="AE133">
        <v>25.8</v>
      </c>
    </row>
    <row r="134" spans="1:31" x14ac:dyDescent="0.15">
      <c r="A134">
        <f t="shared" si="27"/>
        <v>11</v>
      </c>
      <c r="B134" s="2">
        <v>0</v>
      </c>
      <c r="C134" s="3">
        <f t="shared" si="34"/>
        <v>11</v>
      </c>
      <c r="E134">
        <v>142.19999999999999</v>
      </c>
      <c r="F134">
        <v>6.6</v>
      </c>
      <c r="G134">
        <f t="shared" si="28"/>
        <v>155.39999999999998</v>
      </c>
      <c r="H134">
        <f t="shared" si="29"/>
        <v>148.79999999999998</v>
      </c>
      <c r="I134">
        <f t="shared" si="30"/>
        <v>135.6</v>
      </c>
      <c r="J134">
        <f t="shared" si="31"/>
        <v>129</v>
      </c>
      <c r="K134">
        <f t="shared" si="32"/>
        <v>125.69999999999999</v>
      </c>
      <c r="L134">
        <f t="shared" si="33"/>
        <v>122.39999999999999</v>
      </c>
      <c r="N134">
        <v>37.299999999999997</v>
      </c>
      <c r="O134">
        <v>8.5500000000000007</v>
      </c>
      <c r="P134">
        <f t="shared" si="35"/>
        <v>54.4</v>
      </c>
      <c r="Q134">
        <f t="shared" si="36"/>
        <v>45.849999999999994</v>
      </c>
      <c r="R134">
        <f t="shared" si="37"/>
        <v>28.749999999999996</v>
      </c>
      <c r="S134">
        <f t="shared" si="38"/>
        <v>20.199999999999996</v>
      </c>
      <c r="AC134">
        <v>14.3</v>
      </c>
      <c r="AD134">
        <v>17.399999999999999</v>
      </c>
      <c r="AE134">
        <v>25.9</v>
      </c>
    </row>
    <row r="135" spans="1:31" x14ac:dyDescent="0.15">
      <c r="A135">
        <f t="shared" si="27"/>
        <v>11</v>
      </c>
      <c r="B135" s="2">
        <v>1</v>
      </c>
      <c r="C135" s="3">
        <f t="shared" si="34"/>
        <v>11.083333333333334</v>
      </c>
      <c r="E135">
        <v>142.69999999999999</v>
      </c>
      <c r="F135">
        <v>6.7</v>
      </c>
      <c r="G135">
        <f t="shared" si="28"/>
        <v>156.1</v>
      </c>
      <c r="H135">
        <f t="shared" si="29"/>
        <v>149.39999999999998</v>
      </c>
      <c r="I135">
        <f t="shared" si="30"/>
        <v>136</v>
      </c>
      <c r="J135">
        <f t="shared" si="31"/>
        <v>129.29999999999998</v>
      </c>
      <c r="K135">
        <f t="shared" si="32"/>
        <v>125.94999999999999</v>
      </c>
      <c r="L135">
        <f t="shared" si="33"/>
        <v>122.6</v>
      </c>
      <c r="N135">
        <v>37.6</v>
      </c>
      <c r="O135">
        <v>8.65</v>
      </c>
      <c r="P135">
        <f t="shared" si="35"/>
        <v>54.900000000000006</v>
      </c>
      <c r="Q135">
        <f t="shared" si="36"/>
        <v>46.25</v>
      </c>
      <c r="R135">
        <f t="shared" si="37"/>
        <v>28.950000000000003</v>
      </c>
      <c r="S135">
        <f t="shared" si="38"/>
        <v>20.3</v>
      </c>
      <c r="AC135">
        <v>14.3</v>
      </c>
      <c r="AD135">
        <v>17.5</v>
      </c>
      <c r="AE135">
        <v>25.9</v>
      </c>
    </row>
    <row r="136" spans="1:31" x14ac:dyDescent="0.15">
      <c r="A136">
        <f t="shared" si="27"/>
        <v>11</v>
      </c>
      <c r="B136" s="2">
        <v>2</v>
      </c>
      <c r="C136" s="3">
        <f t="shared" si="34"/>
        <v>11.166666666666666</v>
      </c>
      <c r="E136">
        <v>143.19999999999999</v>
      </c>
      <c r="F136">
        <v>6.8</v>
      </c>
      <c r="G136">
        <f t="shared" si="28"/>
        <v>156.79999999999998</v>
      </c>
      <c r="H136">
        <f t="shared" si="29"/>
        <v>150</v>
      </c>
      <c r="I136">
        <f t="shared" si="30"/>
        <v>136.39999999999998</v>
      </c>
      <c r="J136">
        <f t="shared" si="31"/>
        <v>129.6</v>
      </c>
      <c r="K136">
        <f t="shared" si="32"/>
        <v>126.19999999999999</v>
      </c>
      <c r="L136">
        <f t="shared" si="33"/>
        <v>122.79999999999998</v>
      </c>
      <c r="N136">
        <v>38</v>
      </c>
      <c r="O136">
        <v>8.75</v>
      </c>
      <c r="P136">
        <f t="shared" si="35"/>
        <v>55.5</v>
      </c>
      <c r="Q136">
        <f t="shared" si="36"/>
        <v>46.75</v>
      </c>
      <c r="R136">
        <f t="shared" si="37"/>
        <v>29.25</v>
      </c>
      <c r="S136">
        <f t="shared" si="38"/>
        <v>20.5</v>
      </c>
      <c r="AC136">
        <v>14.4</v>
      </c>
      <c r="AD136">
        <v>17.5</v>
      </c>
      <c r="AE136">
        <v>26</v>
      </c>
    </row>
    <row r="137" spans="1:31" x14ac:dyDescent="0.15">
      <c r="A137">
        <f t="shared" si="27"/>
        <v>11</v>
      </c>
      <c r="B137" s="2">
        <v>3</v>
      </c>
      <c r="C137" s="3">
        <f t="shared" si="34"/>
        <v>11.25</v>
      </c>
      <c r="E137">
        <v>143.80000000000001</v>
      </c>
      <c r="F137">
        <v>6.9</v>
      </c>
      <c r="G137">
        <f t="shared" si="28"/>
        <v>157.60000000000002</v>
      </c>
      <c r="H137">
        <f t="shared" si="29"/>
        <v>150.70000000000002</v>
      </c>
      <c r="I137">
        <f t="shared" si="30"/>
        <v>136.9</v>
      </c>
      <c r="J137">
        <f t="shared" si="31"/>
        <v>130</v>
      </c>
      <c r="K137">
        <f t="shared" si="32"/>
        <v>126.55000000000001</v>
      </c>
      <c r="L137">
        <f t="shared" si="33"/>
        <v>123.10000000000001</v>
      </c>
      <c r="N137">
        <v>38.299999999999997</v>
      </c>
      <c r="O137">
        <v>8.85</v>
      </c>
      <c r="P137">
        <f t="shared" si="35"/>
        <v>56</v>
      </c>
      <c r="Q137">
        <f t="shared" si="36"/>
        <v>47.15</v>
      </c>
      <c r="R137">
        <f t="shared" si="37"/>
        <v>29.449999999999996</v>
      </c>
      <c r="S137">
        <f t="shared" si="38"/>
        <v>20.599999999999998</v>
      </c>
      <c r="AC137">
        <v>14.4</v>
      </c>
      <c r="AD137">
        <v>17.5</v>
      </c>
      <c r="AE137">
        <v>26.1</v>
      </c>
    </row>
    <row r="138" spans="1:31" x14ac:dyDescent="0.15">
      <c r="A138">
        <f t="shared" si="27"/>
        <v>11</v>
      </c>
      <c r="B138" s="2">
        <v>4</v>
      </c>
      <c r="C138" s="3">
        <f t="shared" si="34"/>
        <v>11.333333333333334</v>
      </c>
      <c r="E138">
        <v>144.30000000000001</v>
      </c>
      <c r="F138">
        <v>7</v>
      </c>
      <c r="G138">
        <f t="shared" si="28"/>
        <v>158.30000000000001</v>
      </c>
      <c r="H138">
        <f t="shared" si="29"/>
        <v>151.30000000000001</v>
      </c>
      <c r="I138">
        <f t="shared" si="30"/>
        <v>137.30000000000001</v>
      </c>
      <c r="J138">
        <f t="shared" si="31"/>
        <v>130.30000000000001</v>
      </c>
      <c r="K138">
        <f t="shared" si="32"/>
        <v>126.80000000000001</v>
      </c>
      <c r="L138">
        <f t="shared" si="33"/>
        <v>123.30000000000001</v>
      </c>
      <c r="N138">
        <v>38.700000000000003</v>
      </c>
      <c r="O138">
        <v>8.9499999999999993</v>
      </c>
      <c r="P138">
        <f t="shared" si="35"/>
        <v>56.6</v>
      </c>
      <c r="Q138">
        <f t="shared" si="36"/>
        <v>47.650000000000006</v>
      </c>
      <c r="R138">
        <f t="shared" si="37"/>
        <v>29.750000000000004</v>
      </c>
      <c r="S138">
        <f t="shared" si="38"/>
        <v>20.800000000000004</v>
      </c>
      <c r="AC138">
        <v>14.4</v>
      </c>
      <c r="AD138">
        <v>17.600000000000001</v>
      </c>
      <c r="AE138">
        <v>26.2</v>
      </c>
    </row>
    <row r="139" spans="1:31" x14ac:dyDescent="0.15">
      <c r="A139">
        <f t="shared" si="27"/>
        <v>11</v>
      </c>
      <c r="B139" s="2">
        <v>5</v>
      </c>
      <c r="C139" s="3">
        <f t="shared" si="34"/>
        <v>11.416666666666666</v>
      </c>
      <c r="E139">
        <v>144.80000000000001</v>
      </c>
      <c r="F139">
        <v>7.1</v>
      </c>
      <c r="G139">
        <f t="shared" si="28"/>
        <v>159</v>
      </c>
      <c r="H139">
        <f t="shared" si="29"/>
        <v>151.9</v>
      </c>
      <c r="I139">
        <f t="shared" si="30"/>
        <v>137.70000000000002</v>
      </c>
      <c r="J139">
        <f t="shared" si="31"/>
        <v>130.60000000000002</v>
      </c>
      <c r="K139">
        <f t="shared" si="32"/>
        <v>127.05000000000001</v>
      </c>
      <c r="L139">
        <f t="shared" si="33"/>
        <v>123.50000000000001</v>
      </c>
      <c r="N139">
        <v>39</v>
      </c>
      <c r="O139">
        <v>9.0500000000000007</v>
      </c>
      <c r="P139">
        <f t="shared" si="35"/>
        <v>57.1</v>
      </c>
      <c r="Q139">
        <f t="shared" si="36"/>
        <v>48.05</v>
      </c>
      <c r="R139">
        <f t="shared" si="37"/>
        <v>29.95</v>
      </c>
      <c r="S139">
        <f t="shared" si="38"/>
        <v>20.9</v>
      </c>
      <c r="AC139">
        <v>14.5</v>
      </c>
      <c r="AD139">
        <v>17.7</v>
      </c>
      <c r="AE139">
        <v>26.2</v>
      </c>
    </row>
    <row r="140" spans="1:31" x14ac:dyDescent="0.15">
      <c r="A140">
        <f t="shared" si="27"/>
        <v>11</v>
      </c>
      <c r="B140" s="2">
        <v>6</v>
      </c>
      <c r="C140" s="3">
        <f t="shared" si="34"/>
        <v>11.5</v>
      </c>
      <c r="E140">
        <v>145.30000000000001</v>
      </c>
      <c r="F140">
        <v>7.1</v>
      </c>
      <c r="G140">
        <f t="shared" si="28"/>
        <v>159.5</v>
      </c>
      <c r="H140">
        <f t="shared" si="29"/>
        <v>152.4</v>
      </c>
      <c r="I140">
        <f t="shared" si="30"/>
        <v>138.20000000000002</v>
      </c>
      <c r="J140">
        <f t="shared" si="31"/>
        <v>131.10000000000002</v>
      </c>
      <c r="K140">
        <f t="shared" si="32"/>
        <v>127.55000000000001</v>
      </c>
      <c r="L140">
        <f t="shared" si="33"/>
        <v>124.00000000000001</v>
      </c>
      <c r="N140">
        <v>39.4</v>
      </c>
      <c r="O140">
        <v>9.15</v>
      </c>
      <c r="P140">
        <f t="shared" si="35"/>
        <v>57.7</v>
      </c>
      <c r="Q140">
        <f t="shared" si="36"/>
        <v>48.55</v>
      </c>
      <c r="R140">
        <f t="shared" si="37"/>
        <v>30.25</v>
      </c>
      <c r="S140">
        <f t="shared" si="38"/>
        <v>21.099999999999998</v>
      </c>
      <c r="AC140">
        <v>14.5</v>
      </c>
      <c r="AD140">
        <v>17.7</v>
      </c>
      <c r="AE140">
        <v>26.3</v>
      </c>
    </row>
    <row r="141" spans="1:31" x14ac:dyDescent="0.15">
      <c r="A141">
        <f t="shared" si="27"/>
        <v>11</v>
      </c>
      <c r="B141" s="2">
        <v>7</v>
      </c>
      <c r="C141" s="3">
        <f t="shared" si="34"/>
        <v>11.583333333333334</v>
      </c>
      <c r="E141">
        <v>145.9</v>
      </c>
      <c r="F141">
        <v>7.2</v>
      </c>
      <c r="G141">
        <f t="shared" si="28"/>
        <v>160.30000000000001</v>
      </c>
      <c r="H141">
        <f t="shared" si="29"/>
        <v>153.1</v>
      </c>
      <c r="I141">
        <f t="shared" si="30"/>
        <v>138.70000000000002</v>
      </c>
      <c r="J141">
        <f t="shared" si="31"/>
        <v>131.5</v>
      </c>
      <c r="K141">
        <f t="shared" si="32"/>
        <v>127.9</v>
      </c>
      <c r="L141">
        <f t="shared" si="33"/>
        <v>124.30000000000001</v>
      </c>
      <c r="N141">
        <v>39.9</v>
      </c>
      <c r="O141">
        <v>9.25</v>
      </c>
      <c r="P141">
        <f t="shared" si="35"/>
        <v>58.4</v>
      </c>
      <c r="Q141">
        <f t="shared" si="36"/>
        <v>49.15</v>
      </c>
      <c r="R141">
        <f t="shared" si="37"/>
        <v>30.65</v>
      </c>
      <c r="S141">
        <f t="shared" si="38"/>
        <v>21.4</v>
      </c>
      <c r="AC141">
        <v>14.6</v>
      </c>
      <c r="AD141">
        <v>17.8</v>
      </c>
      <c r="AE141">
        <v>26.4</v>
      </c>
    </row>
    <row r="142" spans="1:31" x14ac:dyDescent="0.15">
      <c r="A142">
        <f t="shared" si="27"/>
        <v>11</v>
      </c>
      <c r="B142" s="2">
        <v>8</v>
      </c>
      <c r="C142" s="3">
        <f t="shared" si="34"/>
        <v>11.666666666666666</v>
      </c>
      <c r="E142">
        <v>146.6</v>
      </c>
      <c r="F142">
        <v>7.3</v>
      </c>
      <c r="G142">
        <f t="shared" si="28"/>
        <v>161.19999999999999</v>
      </c>
      <c r="H142">
        <f t="shared" si="29"/>
        <v>153.9</v>
      </c>
      <c r="I142">
        <f t="shared" si="30"/>
        <v>139.29999999999998</v>
      </c>
      <c r="J142">
        <f t="shared" si="31"/>
        <v>132</v>
      </c>
      <c r="K142">
        <f t="shared" si="32"/>
        <v>128.35</v>
      </c>
      <c r="L142">
        <f t="shared" si="33"/>
        <v>124.69999999999999</v>
      </c>
      <c r="N142">
        <v>40.4</v>
      </c>
      <c r="O142">
        <v>9.36</v>
      </c>
      <c r="P142">
        <f t="shared" si="35"/>
        <v>59.12</v>
      </c>
      <c r="Q142">
        <f t="shared" si="36"/>
        <v>49.76</v>
      </c>
      <c r="R142">
        <f t="shared" si="37"/>
        <v>31.04</v>
      </c>
      <c r="S142">
        <f t="shared" si="38"/>
        <v>21.68</v>
      </c>
      <c r="AC142">
        <v>14.6</v>
      </c>
      <c r="AD142">
        <v>17.8</v>
      </c>
      <c r="AE142">
        <v>26.4</v>
      </c>
    </row>
    <row r="143" spans="1:31" x14ac:dyDescent="0.15">
      <c r="A143">
        <f t="shared" si="27"/>
        <v>11</v>
      </c>
      <c r="B143" s="2">
        <v>9</v>
      </c>
      <c r="C143" s="3">
        <f t="shared" si="34"/>
        <v>11.75</v>
      </c>
      <c r="E143">
        <v>147.19999999999999</v>
      </c>
      <c r="F143">
        <v>7.4</v>
      </c>
      <c r="G143">
        <f t="shared" si="28"/>
        <v>162</v>
      </c>
      <c r="H143">
        <f t="shared" si="29"/>
        <v>154.6</v>
      </c>
      <c r="I143">
        <f t="shared" si="30"/>
        <v>139.79999999999998</v>
      </c>
      <c r="J143">
        <f t="shared" si="31"/>
        <v>132.39999999999998</v>
      </c>
      <c r="K143">
        <f t="shared" si="32"/>
        <v>128.69999999999999</v>
      </c>
      <c r="L143">
        <f t="shared" si="33"/>
        <v>124.99999999999999</v>
      </c>
      <c r="N143">
        <v>40.9</v>
      </c>
      <c r="O143">
        <v>9.4600000000000009</v>
      </c>
      <c r="P143">
        <f t="shared" si="35"/>
        <v>59.82</v>
      </c>
      <c r="Q143">
        <f t="shared" si="36"/>
        <v>50.36</v>
      </c>
      <c r="R143">
        <f t="shared" si="37"/>
        <v>31.439999999999998</v>
      </c>
      <c r="S143">
        <f t="shared" si="38"/>
        <v>21.979999999999997</v>
      </c>
      <c r="AC143">
        <v>14.6</v>
      </c>
      <c r="AD143">
        <v>17.899999999999999</v>
      </c>
      <c r="AE143">
        <v>26.5</v>
      </c>
    </row>
    <row r="144" spans="1:31" x14ac:dyDescent="0.15">
      <c r="A144">
        <f t="shared" si="27"/>
        <v>11</v>
      </c>
      <c r="B144" s="2">
        <v>10</v>
      </c>
      <c r="C144" s="3">
        <f t="shared" si="34"/>
        <v>11.833333333333334</v>
      </c>
      <c r="E144">
        <v>147.80000000000001</v>
      </c>
      <c r="F144">
        <v>7.4</v>
      </c>
      <c r="G144">
        <f t="shared" si="28"/>
        <v>162.60000000000002</v>
      </c>
      <c r="H144">
        <f t="shared" si="29"/>
        <v>155.20000000000002</v>
      </c>
      <c r="I144">
        <f t="shared" si="30"/>
        <v>140.4</v>
      </c>
      <c r="J144">
        <f t="shared" si="31"/>
        <v>133</v>
      </c>
      <c r="K144">
        <f t="shared" si="32"/>
        <v>129.30000000000001</v>
      </c>
      <c r="L144">
        <f t="shared" si="33"/>
        <v>125.60000000000001</v>
      </c>
      <c r="N144">
        <v>41.4</v>
      </c>
      <c r="O144">
        <v>9.56</v>
      </c>
      <c r="P144">
        <f t="shared" si="35"/>
        <v>60.519999999999996</v>
      </c>
      <c r="Q144">
        <f t="shared" si="36"/>
        <v>50.96</v>
      </c>
      <c r="R144">
        <f t="shared" si="37"/>
        <v>31.839999999999996</v>
      </c>
      <c r="S144">
        <f t="shared" si="38"/>
        <v>22.279999999999998</v>
      </c>
      <c r="AC144">
        <v>14.7</v>
      </c>
      <c r="AD144">
        <v>17.899999999999999</v>
      </c>
      <c r="AE144">
        <v>26.5</v>
      </c>
    </row>
    <row r="145" spans="1:31" x14ac:dyDescent="0.15">
      <c r="A145">
        <f t="shared" si="27"/>
        <v>11</v>
      </c>
      <c r="B145" s="2">
        <v>11</v>
      </c>
      <c r="C145" s="3">
        <f t="shared" si="34"/>
        <v>11.916666666666666</v>
      </c>
      <c r="E145">
        <v>148.5</v>
      </c>
      <c r="F145">
        <v>7.5</v>
      </c>
      <c r="G145">
        <f t="shared" si="28"/>
        <v>163.5</v>
      </c>
      <c r="H145">
        <f t="shared" si="29"/>
        <v>156</v>
      </c>
      <c r="I145">
        <f t="shared" si="30"/>
        <v>141</v>
      </c>
      <c r="J145">
        <f t="shared" si="31"/>
        <v>133.5</v>
      </c>
      <c r="K145">
        <f t="shared" si="32"/>
        <v>129.75</v>
      </c>
      <c r="L145">
        <f t="shared" si="33"/>
        <v>126</v>
      </c>
      <c r="N145">
        <v>41.9</v>
      </c>
      <c r="O145">
        <v>9.67</v>
      </c>
      <c r="P145">
        <f t="shared" si="35"/>
        <v>61.239999999999995</v>
      </c>
      <c r="Q145">
        <f t="shared" si="36"/>
        <v>51.57</v>
      </c>
      <c r="R145">
        <f t="shared" si="37"/>
        <v>32.229999999999997</v>
      </c>
      <c r="S145">
        <f t="shared" si="38"/>
        <v>22.56</v>
      </c>
      <c r="AC145">
        <v>14.7</v>
      </c>
      <c r="AD145">
        <v>18</v>
      </c>
      <c r="AE145">
        <v>26.6</v>
      </c>
    </row>
    <row r="146" spans="1:31" x14ac:dyDescent="0.15">
      <c r="A146">
        <f t="shared" si="27"/>
        <v>12</v>
      </c>
      <c r="B146" s="2">
        <v>0</v>
      </c>
      <c r="C146" s="3">
        <f t="shared" si="34"/>
        <v>12</v>
      </c>
      <c r="E146">
        <v>149.1</v>
      </c>
      <c r="F146">
        <v>7.6</v>
      </c>
      <c r="G146">
        <f t="shared" si="28"/>
        <v>164.29999999999998</v>
      </c>
      <c r="H146">
        <f t="shared" si="29"/>
        <v>156.69999999999999</v>
      </c>
      <c r="I146">
        <f t="shared" si="30"/>
        <v>141.5</v>
      </c>
      <c r="J146">
        <f t="shared" si="31"/>
        <v>133.9</v>
      </c>
      <c r="K146">
        <f t="shared" si="32"/>
        <v>130.1</v>
      </c>
      <c r="L146">
        <f t="shared" si="33"/>
        <v>126.3</v>
      </c>
      <c r="N146">
        <v>42.4</v>
      </c>
      <c r="O146">
        <v>9.77</v>
      </c>
      <c r="P146">
        <f t="shared" si="35"/>
        <v>61.94</v>
      </c>
      <c r="Q146">
        <f t="shared" si="36"/>
        <v>52.17</v>
      </c>
      <c r="R146">
        <f t="shared" si="37"/>
        <v>32.629999999999995</v>
      </c>
      <c r="S146">
        <f t="shared" si="38"/>
        <v>22.86</v>
      </c>
      <c r="AC146">
        <v>14.8</v>
      </c>
      <c r="AD146">
        <v>18.100000000000001</v>
      </c>
      <c r="AE146">
        <v>26.6</v>
      </c>
    </row>
    <row r="147" spans="1:31" x14ac:dyDescent="0.15">
      <c r="A147">
        <f t="shared" si="27"/>
        <v>12</v>
      </c>
      <c r="B147" s="2">
        <v>1</v>
      </c>
      <c r="C147" s="3">
        <f t="shared" si="34"/>
        <v>12.083333333333334</v>
      </c>
      <c r="E147">
        <v>149.69999999999999</v>
      </c>
      <c r="F147">
        <v>7.7</v>
      </c>
      <c r="G147">
        <f t="shared" si="28"/>
        <v>165.1</v>
      </c>
      <c r="H147">
        <f t="shared" si="29"/>
        <v>157.39999999999998</v>
      </c>
      <c r="I147">
        <f t="shared" si="30"/>
        <v>142</v>
      </c>
      <c r="J147">
        <f t="shared" si="31"/>
        <v>134.29999999999998</v>
      </c>
      <c r="K147">
        <f t="shared" si="32"/>
        <v>130.44999999999999</v>
      </c>
      <c r="L147">
        <f t="shared" si="33"/>
        <v>126.6</v>
      </c>
      <c r="N147">
        <v>42.9</v>
      </c>
      <c r="O147">
        <v>9.8699999999999992</v>
      </c>
      <c r="P147">
        <f t="shared" si="35"/>
        <v>62.64</v>
      </c>
      <c r="Q147">
        <f t="shared" si="36"/>
        <v>52.769999999999996</v>
      </c>
      <c r="R147">
        <f t="shared" si="37"/>
        <v>33.03</v>
      </c>
      <c r="S147">
        <f t="shared" si="38"/>
        <v>23.16</v>
      </c>
      <c r="AC147">
        <v>14.8</v>
      </c>
      <c r="AD147">
        <v>18.100000000000001</v>
      </c>
      <c r="AE147">
        <v>26.7</v>
      </c>
    </row>
    <row r="148" spans="1:31" x14ac:dyDescent="0.15">
      <c r="A148">
        <f t="shared" si="27"/>
        <v>12</v>
      </c>
      <c r="B148" s="2">
        <v>2</v>
      </c>
      <c r="C148" s="3">
        <f t="shared" si="34"/>
        <v>12.166666666666666</v>
      </c>
      <c r="E148">
        <v>150.4</v>
      </c>
      <c r="F148">
        <v>7.8</v>
      </c>
      <c r="G148">
        <f t="shared" si="28"/>
        <v>166</v>
      </c>
      <c r="H148">
        <f t="shared" si="29"/>
        <v>158.20000000000002</v>
      </c>
      <c r="I148">
        <f t="shared" si="30"/>
        <v>142.6</v>
      </c>
      <c r="J148">
        <f t="shared" si="31"/>
        <v>134.80000000000001</v>
      </c>
      <c r="K148">
        <f t="shared" si="32"/>
        <v>130.9</v>
      </c>
      <c r="L148">
        <f t="shared" si="33"/>
        <v>127</v>
      </c>
      <c r="N148">
        <v>43.4</v>
      </c>
      <c r="O148">
        <v>9.98</v>
      </c>
      <c r="P148">
        <f t="shared" si="35"/>
        <v>63.36</v>
      </c>
      <c r="Q148">
        <f t="shared" si="36"/>
        <v>53.379999999999995</v>
      </c>
      <c r="R148">
        <f t="shared" si="37"/>
        <v>33.42</v>
      </c>
      <c r="S148">
        <f t="shared" si="38"/>
        <v>23.439999999999998</v>
      </c>
      <c r="AC148">
        <v>14.8</v>
      </c>
      <c r="AD148">
        <v>18.2</v>
      </c>
      <c r="AE148">
        <v>26.8</v>
      </c>
    </row>
    <row r="149" spans="1:31" x14ac:dyDescent="0.15">
      <c r="A149">
        <f t="shared" si="27"/>
        <v>12</v>
      </c>
      <c r="B149" s="2">
        <v>3</v>
      </c>
      <c r="C149" s="3">
        <f t="shared" si="34"/>
        <v>12.25</v>
      </c>
      <c r="E149">
        <v>151</v>
      </c>
      <c r="F149">
        <v>7.8</v>
      </c>
      <c r="G149">
        <f t="shared" si="28"/>
        <v>166.6</v>
      </c>
      <c r="H149">
        <f t="shared" si="29"/>
        <v>158.80000000000001</v>
      </c>
      <c r="I149">
        <f t="shared" si="30"/>
        <v>143.19999999999999</v>
      </c>
      <c r="J149">
        <f t="shared" si="31"/>
        <v>135.4</v>
      </c>
      <c r="K149">
        <f t="shared" si="32"/>
        <v>131.5</v>
      </c>
      <c r="L149">
        <f t="shared" si="33"/>
        <v>127.6</v>
      </c>
      <c r="N149">
        <v>43.9</v>
      </c>
      <c r="O149">
        <v>10.08</v>
      </c>
      <c r="P149">
        <f t="shared" si="35"/>
        <v>64.06</v>
      </c>
      <c r="Q149">
        <f t="shared" si="36"/>
        <v>53.98</v>
      </c>
      <c r="R149">
        <f t="shared" si="37"/>
        <v>33.82</v>
      </c>
      <c r="S149">
        <f t="shared" si="38"/>
        <v>23.74</v>
      </c>
      <c r="AC149">
        <v>14.9</v>
      </c>
      <c r="AD149">
        <v>18.2</v>
      </c>
      <c r="AE149">
        <v>26.8</v>
      </c>
    </row>
    <row r="150" spans="1:31" x14ac:dyDescent="0.15">
      <c r="A150">
        <f t="shared" si="27"/>
        <v>12</v>
      </c>
      <c r="B150" s="2">
        <v>4</v>
      </c>
      <c r="C150" s="3">
        <f t="shared" si="34"/>
        <v>12.333333333333334</v>
      </c>
      <c r="E150">
        <v>151.6</v>
      </c>
      <c r="F150">
        <v>7.9</v>
      </c>
      <c r="G150">
        <f t="shared" si="28"/>
        <v>167.4</v>
      </c>
      <c r="H150">
        <f t="shared" si="29"/>
        <v>159.5</v>
      </c>
      <c r="I150">
        <f t="shared" si="30"/>
        <v>143.69999999999999</v>
      </c>
      <c r="J150">
        <f t="shared" si="31"/>
        <v>135.79999999999998</v>
      </c>
      <c r="K150">
        <f t="shared" si="32"/>
        <v>131.85</v>
      </c>
      <c r="L150">
        <f t="shared" si="33"/>
        <v>127.89999999999999</v>
      </c>
      <c r="N150">
        <v>44.4</v>
      </c>
      <c r="O150">
        <v>10.18</v>
      </c>
      <c r="P150">
        <f t="shared" si="35"/>
        <v>64.759999999999991</v>
      </c>
      <c r="Q150">
        <f t="shared" si="36"/>
        <v>54.58</v>
      </c>
      <c r="R150">
        <f t="shared" si="37"/>
        <v>34.22</v>
      </c>
      <c r="S150">
        <f t="shared" si="38"/>
        <v>24.04</v>
      </c>
      <c r="AC150">
        <v>14.9</v>
      </c>
      <c r="AD150">
        <v>18.3</v>
      </c>
      <c r="AE150">
        <v>26.9</v>
      </c>
    </row>
    <row r="151" spans="1:31" x14ac:dyDescent="0.15">
      <c r="A151">
        <f t="shared" si="27"/>
        <v>12</v>
      </c>
      <c r="B151" s="2">
        <v>5</v>
      </c>
      <c r="C151" s="3">
        <f t="shared" si="34"/>
        <v>12.416666666666666</v>
      </c>
      <c r="E151">
        <v>152.30000000000001</v>
      </c>
      <c r="F151">
        <v>8</v>
      </c>
      <c r="G151">
        <f t="shared" si="28"/>
        <v>168.3</v>
      </c>
      <c r="H151">
        <f t="shared" si="29"/>
        <v>160.30000000000001</v>
      </c>
      <c r="I151">
        <f t="shared" si="30"/>
        <v>144.30000000000001</v>
      </c>
      <c r="J151">
        <f t="shared" si="31"/>
        <v>136.30000000000001</v>
      </c>
      <c r="K151">
        <f t="shared" si="32"/>
        <v>132.30000000000001</v>
      </c>
      <c r="L151">
        <f t="shared" si="33"/>
        <v>128.30000000000001</v>
      </c>
      <c r="N151">
        <v>44.9</v>
      </c>
      <c r="O151">
        <v>10.29</v>
      </c>
      <c r="P151">
        <f t="shared" si="35"/>
        <v>65.47999999999999</v>
      </c>
      <c r="Q151">
        <f t="shared" si="36"/>
        <v>55.19</v>
      </c>
      <c r="R151">
        <f t="shared" si="37"/>
        <v>34.61</v>
      </c>
      <c r="S151">
        <f t="shared" si="38"/>
        <v>24.32</v>
      </c>
      <c r="AC151">
        <v>15</v>
      </c>
      <c r="AD151">
        <v>18.3</v>
      </c>
      <c r="AE151">
        <v>26.9</v>
      </c>
    </row>
    <row r="152" spans="1:31" x14ac:dyDescent="0.15">
      <c r="A152">
        <f t="shared" si="27"/>
        <v>12</v>
      </c>
      <c r="B152" s="2">
        <v>6</v>
      </c>
      <c r="C152" s="3">
        <f t="shared" si="34"/>
        <v>12.5</v>
      </c>
      <c r="E152">
        <v>152.9</v>
      </c>
      <c r="F152">
        <v>8.1</v>
      </c>
      <c r="G152">
        <f t="shared" si="28"/>
        <v>169.1</v>
      </c>
      <c r="H152">
        <f t="shared" si="29"/>
        <v>161</v>
      </c>
      <c r="I152">
        <f t="shared" si="30"/>
        <v>144.80000000000001</v>
      </c>
      <c r="J152">
        <f t="shared" si="31"/>
        <v>136.70000000000002</v>
      </c>
      <c r="K152">
        <f t="shared" si="32"/>
        <v>132.65</v>
      </c>
      <c r="L152">
        <f t="shared" si="33"/>
        <v>128.60000000000002</v>
      </c>
      <c r="N152">
        <v>45.4</v>
      </c>
      <c r="O152">
        <v>10.39</v>
      </c>
      <c r="P152">
        <f t="shared" si="35"/>
        <v>66.180000000000007</v>
      </c>
      <c r="Q152">
        <f t="shared" si="36"/>
        <v>55.79</v>
      </c>
      <c r="R152">
        <f t="shared" si="37"/>
        <v>35.01</v>
      </c>
      <c r="S152">
        <f t="shared" si="38"/>
        <v>24.619999999999997</v>
      </c>
      <c r="AC152">
        <v>15</v>
      </c>
      <c r="AD152">
        <v>18.399999999999999</v>
      </c>
      <c r="AE152">
        <v>27</v>
      </c>
    </row>
    <row r="153" spans="1:31" x14ac:dyDescent="0.15">
      <c r="A153">
        <f t="shared" si="27"/>
        <v>12</v>
      </c>
      <c r="B153" s="2">
        <v>7</v>
      </c>
      <c r="C153" s="3">
        <f t="shared" si="34"/>
        <v>12.583333333333334</v>
      </c>
      <c r="E153">
        <v>153.5</v>
      </c>
      <c r="F153">
        <v>8</v>
      </c>
      <c r="G153">
        <f t="shared" si="28"/>
        <v>169.5</v>
      </c>
      <c r="H153">
        <f t="shared" si="29"/>
        <v>161.5</v>
      </c>
      <c r="I153">
        <f t="shared" si="30"/>
        <v>145.5</v>
      </c>
      <c r="J153">
        <f t="shared" si="31"/>
        <v>137.5</v>
      </c>
      <c r="K153">
        <f t="shared" si="32"/>
        <v>133.5</v>
      </c>
      <c r="L153">
        <f t="shared" si="33"/>
        <v>129.5</v>
      </c>
      <c r="N153">
        <v>45.8</v>
      </c>
      <c r="O153">
        <v>10.4</v>
      </c>
      <c r="P153">
        <f t="shared" si="35"/>
        <v>66.599999999999994</v>
      </c>
      <c r="Q153">
        <f t="shared" si="36"/>
        <v>56.199999999999996</v>
      </c>
      <c r="R153">
        <f t="shared" si="37"/>
        <v>35.4</v>
      </c>
      <c r="S153">
        <f t="shared" si="38"/>
        <v>24.999999999999996</v>
      </c>
      <c r="AC153">
        <v>15</v>
      </c>
      <c r="AD153">
        <v>18.5</v>
      </c>
      <c r="AE153">
        <v>27</v>
      </c>
    </row>
    <row r="154" spans="1:31" x14ac:dyDescent="0.15">
      <c r="A154">
        <f t="shared" si="27"/>
        <v>12</v>
      </c>
      <c r="B154" s="2">
        <v>8</v>
      </c>
      <c r="C154" s="3">
        <f t="shared" si="34"/>
        <v>12.666666666666666</v>
      </c>
      <c r="E154">
        <v>154.1</v>
      </c>
      <c r="F154">
        <v>8</v>
      </c>
      <c r="G154">
        <f t="shared" si="28"/>
        <v>170.1</v>
      </c>
      <c r="H154">
        <f t="shared" si="29"/>
        <v>162.1</v>
      </c>
      <c r="I154">
        <f t="shared" si="30"/>
        <v>146.1</v>
      </c>
      <c r="J154">
        <f t="shared" si="31"/>
        <v>138.1</v>
      </c>
      <c r="K154">
        <f t="shared" si="32"/>
        <v>134.1</v>
      </c>
      <c r="L154">
        <f t="shared" si="33"/>
        <v>130.1</v>
      </c>
      <c r="N154">
        <v>46.2</v>
      </c>
      <c r="O154">
        <v>10.41</v>
      </c>
      <c r="P154">
        <f t="shared" si="35"/>
        <v>67.02000000000001</v>
      </c>
      <c r="Q154">
        <f t="shared" si="36"/>
        <v>56.61</v>
      </c>
      <c r="R154">
        <f t="shared" si="37"/>
        <v>35.790000000000006</v>
      </c>
      <c r="S154">
        <f t="shared" si="38"/>
        <v>25.380000000000003</v>
      </c>
      <c r="AC154">
        <v>15.1</v>
      </c>
      <c r="AD154">
        <v>18.5</v>
      </c>
      <c r="AE154">
        <v>27.1</v>
      </c>
    </row>
    <row r="155" spans="1:31" x14ac:dyDescent="0.15">
      <c r="A155">
        <f t="shared" si="27"/>
        <v>12</v>
      </c>
      <c r="B155" s="2">
        <v>9</v>
      </c>
      <c r="C155" s="3">
        <f t="shared" si="34"/>
        <v>12.75</v>
      </c>
      <c r="E155">
        <v>154.69999999999999</v>
      </c>
      <c r="F155">
        <v>8</v>
      </c>
      <c r="G155">
        <f t="shared" si="28"/>
        <v>170.7</v>
      </c>
      <c r="H155">
        <f t="shared" si="29"/>
        <v>162.69999999999999</v>
      </c>
      <c r="I155">
        <f t="shared" si="30"/>
        <v>146.69999999999999</v>
      </c>
      <c r="J155">
        <f t="shared" si="31"/>
        <v>138.69999999999999</v>
      </c>
      <c r="K155">
        <f t="shared" si="32"/>
        <v>134.69999999999999</v>
      </c>
      <c r="L155">
        <f t="shared" si="33"/>
        <v>130.69999999999999</v>
      </c>
      <c r="N155">
        <v>46.7</v>
      </c>
      <c r="O155">
        <v>10.41</v>
      </c>
      <c r="P155">
        <f t="shared" si="35"/>
        <v>67.52000000000001</v>
      </c>
      <c r="Q155">
        <f t="shared" si="36"/>
        <v>57.11</v>
      </c>
      <c r="R155">
        <f t="shared" si="37"/>
        <v>36.290000000000006</v>
      </c>
      <c r="S155">
        <f t="shared" si="38"/>
        <v>25.880000000000003</v>
      </c>
      <c r="AC155">
        <v>15.1</v>
      </c>
      <c r="AD155">
        <v>18.600000000000001</v>
      </c>
      <c r="AE155">
        <v>27.1</v>
      </c>
    </row>
    <row r="156" spans="1:31" x14ac:dyDescent="0.15">
      <c r="A156">
        <f t="shared" si="27"/>
        <v>12</v>
      </c>
      <c r="B156" s="2">
        <v>10</v>
      </c>
      <c r="C156" s="3">
        <f t="shared" si="34"/>
        <v>12.833333333333334</v>
      </c>
      <c r="E156">
        <v>155.30000000000001</v>
      </c>
      <c r="F156">
        <v>7.9</v>
      </c>
      <c r="G156">
        <f t="shared" si="28"/>
        <v>171.10000000000002</v>
      </c>
      <c r="H156">
        <f t="shared" si="29"/>
        <v>163.20000000000002</v>
      </c>
      <c r="I156">
        <f t="shared" si="30"/>
        <v>147.4</v>
      </c>
      <c r="J156">
        <f t="shared" si="31"/>
        <v>139.5</v>
      </c>
      <c r="K156">
        <f t="shared" si="32"/>
        <v>135.55000000000001</v>
      </c>
      <c r="L156">
        <f t="shared" si="33"/>
        <v>131.60000000000002</v>
      </c>
      <c r="N156">
        <v>47.1</v>
      </c>
      <c r="O156">
        <v>10.42</v>
      </c>
      <c r="P156">
        <f t="shared" si="35"/>
        <v>67.94</v>
      </c>
      <c r="Q156">
        <f t="shared" si="36"/>
        <v>57.52</v>
      </c>
      <c r="R156">
        <f t="shared" si="37"/>
        <v>36.68</v>
      </c>
      <c r="S156">
        <f t="shared" si="38"/>
        <v>26.26</v>
      </c>
      <c r="AC156">
        <v>15.2</v>
      </c>
      <c r="AD156">
        <v>18.600000000000001</v>
      </c>
      <c r="AE156">
        <v>27.2</v>
      </c>
    </row>
    <row r="157" spans="1:31" x14ac:dyDescent="0.15">
      <c r="A157">
        <f t="shared" si="27"/>
        <v>12</v>
      </c>
      <c r="B157" s="2">
        <v>11</v>
      </c>
      <c r="C157" s="3">
        <f t="shared" si="34"/>
        <v>12.916666666666666</v>
      </c>
      <c r="E157">
        <v>155.9</v>
      </c>
      <c r="F157">
        <v>7.9</v>
      </c>
      <c r="G157">
        <f t="shared" si="28"/>
        <v>171.70000000000002</v>
      </c>
      <c r="H157">
        <f t="shared" si="29"/>
        <v>163.80000000000001</v>
      </c>
      <c r="I157">
        <f t="shared" si="30"/>
        <v>148</v>
      </c>
      <c r="J157">
        <f t="shared" si="31"/>
        <v>140.1</v>
      </c>
      <c r="K157">
        <f t="shared" si="32"/>
        <v>136.15</v>
      </c>
      <c r="L157">
        <f t="shared" si="33"/>
        <v>132.19999999999999</v>
      </c>
      <c r="N157">
        <v>47.5</v>
      </c>
      <c r="O157">
        <v>10.43</v>
      </c>
      <c r="P157">
        <f t="shared" si="35"/>
        <v>68.36</v>
      </c>
      <c r="Q157">
        <f t="shared" si="36"/>
        <v>57.93</v>
      </c>
      <c r="R157">
        <f t="shared" si="37"/>
        <v>37.07</v>
      </c>
      <c r="S157">
        <f t="shared" si="38"/>
        <v>26.64</v>
      </c>
      <c r="AC157">
        <v>15.2</v>
      </c>
      <c r="AD157">
        <v>18.7</v>
      </c>
      <c r="AE157">
        <v>27.2</v>
      </c>
    </row>
    <row r="158" spans="1:31" x14ac:dyDescent="0.15">
      <c r="A158">
        <f t="shared" si="27"/>
        <v>13</v>
      </c>
      <c r="B158" s="2">
        <v>0</v>
      </c>
      <c r="C158" s="3">
        <f t="shared" si="34"/>
        <v>13</v>
      </c>
      <c r="E158">
        <v>156.5</v>
      </c>
      <c r="F158">
        <v>7.9</v>
      </c>
      <c r="G158">
        <f t="shared" si="28"/>
        <v>172.3</v>
      </c>
      <c r="H158">
        <f t="shared" si="29"/>
        <v>164.4</v>
      </c>
      <c r="I158">
        <f t="shared" si="30"/>
        <v>148.6</v>
      </c>
      <c r="J158">
        <f t="shared" si="31"/>
        <v>140.69999999999999</v>
      </c>
      <c r="K158">
        <f t="shared" si="32"/>
        <v>136.75</v>
      </c>
      <c r="L158">
        <f t="shared" si="33"/>
        <v>132.80000000000001</v>
      </c>
      <c r="N158">
        <v>47.9</v>
      </c>
      <c r="O158">
        <v>10.44</v>
      </c>
      <c r="P158">
        <f t="shared" si="35"/>
        <v>68.78</v>
      </c>
      <c r="Q158">
        <f t="shared" si="36"/>
        <v>58.339999999999996</v>
      </c>
      <c r="R158">
        <f t="shared" si="37"/>
        <v>37.46</v>
      </c>
      <c r="S158">
        <f t="shared" si="38"/>
        <v>27.02</v>
      </c>
      <c r="AC158">
        <v>15.2</v>
      </c>
      <c r="AD158">
        <v>18.8</v>
      </c>
      <c r="AE158">
        <v>27.3</v>
      </c>
    </row>
    <row r="159" spans="1:31" x14ac:dyDescent="0.15">
      <c r="A159">
        <f t="shared" si="27"/>
        <v>13</v>
      </c>
      <c r="B159" s="2">
        <v>1</v>
      </c>
      <c r="C159" s="3">
        <f t="shared" si="34"/>
        <v>13.083333333333334</v>
      </c>
      <c r="E159">
        <v>157</v>
      </c>
      <c r="F159">
        <v>7.8</v>
      </c>
      <c r="G159">
        <f t="shared" si="28"/>
        <v>172.6</v>
      </c>
      <c r="H159">
        <f t="shared" si="29"/>
        <v>164.8</v>
      </c>
      <c r="I159">
        <f t="shared" si="30"/>
        <v>149.19999999999999</v>
      </c>
      <c r="J159">
        <f t="shared" si="31"/>
        <v>141.4</v>
      </c>
      <c r="K159">
        <f t="shared" si="32"/>
        <v>137.5</v>
      </c>
      <c r="L159">
        <f t="shared" si="33"/>
        <v>133.6</v>
      </c>
      <c r="N159">
        <v>48.3</v>
      </c>
      <c r="O159">
        <v>10.44</v>
      </c>
      <c r="P159">
        <f t="shared" si="35"/>
        <v>69.179999999999993</v>
      </c>
      <c r="Q159">
        <f t="shared" si="36"/>
        <v>58.739999999999995</v>
      </c>
      <c r="R159">
        <f t="shared" si="37"/>
        <v>37.86</v>
      </c>
      <c r="S159">
        <f t="shared" si="38"/>
        <v>27.419999999999998</v>
      </c>
      <c r="AC159">
        <v>15.3</v>
      </c>
      <c r="AD159">
        <v>18.8</v>
      </c>
      <c r="AE159">
        <v>27.3</v>
      </c>
    </row>
    <row r="160" spans="1:31" x14ac:dyDescent="0.15">
      <c r="A160">
        <f t="shared" si="27"/>
        <v>13</v>
      </c>
      <c r="B160" s="2">
        <v>2</v>
      </c>
      <c r="C160" s="3">
        <f t="shared" si="34"/>
        <v>13.166666666666666</v>
      </c>
      <c r="E160">
        <v>157.6</v>
      </c>
      <c r="F160">
        <v>7.8</v>
      </c>
      <c r="G160">
        <f t="shared" si="28"/>
        <v>173.2</v>
      </c>
      <c r="H160">
        <f t="shared" si="29"/>
        <v>165.4</v>
      </c>
      <c r="I160">
        <f t="shared" si="30"/>
        <v>149.79999999999998</v>
      </c>
      <c r="J160">
        <f t="shared" si="31"/>
        <v>142</v>
      </c>
      <c r="K160">
        <f t="shared" si="32"/>
        <v>138.1</v>
      </c>
      <c r="L160">
        <f t="shared" si="33"/>
        <v>134.19999999999999</v>
      </c>
      <c r="N160">
        <v>48.7</v>
      </c>
      <c r="O160">
        <v>10.45</v>
      </c>
      <c r="P160">
        <f t="shared" si="35"/>
        <v>69.599999999999994</v>
      </c>
      <c r="Q160">
        <f t="shared" si="36"/>
        <v>59.150000000000006</v>
      </c>
      <c r="R160">
        <f t="shared" si="37"/>
        <v>38.25</v>
      </c>
      <c r="S160">
        <f t="shared" si="38"/>
        <v>27.800000000000004</v>
      </c>
      <c r="AC160">
        <v>15.3</v>
      </c>
      <c r="AD160">
        <v>18.899999999999999</v>
      </c>
      <c r="AE160">
        <v>27.4</v>
      </c>
    </row>
    <row r="161" spans="1:31" x14ac:dyDescent="0.15">
      <c r="A161">
        <f t="shared" si="27"/>
        <v>13</v>
      </c>
      <c r="B161" s="2">
        <v>3</v>
      </c>
      <c r="C161" s="3">
        <f t="shared" si="34"/>
        <v>13.25</v>
      </c>
      <c r="E161">
        <v>158.19999999999999</v>
      </c>
      <c r="F161">
        <v>7.8</v>
      </c>
      <c r="G161">
        <f t="shared" si="28"/>
        <v>173.79999999999998</v>
      </c>
      <c r="H161">
        <f t="shared" si="29"/>
        <v>166</v>
      </c>
      <c r="I161">
        <f t="shared" si="30"/>
        <v>150.39999999999998</v>
      </c>
      <c r="J161">
        <f t="shared" si="31"/>
        <v>142.6</v>
      </c>
      <c r="K161">
        <f t="shared" si="32"/>
        <v>138.69999999999999</v>
      </c>
      <c r="L161">
        <f t="shared" si="33"/>
        <v>134.79999999999998</v>
      </c>
      <c r="N161">
        <v>49.2</v>
      </c>
      <c r="O161">
        <v>10.46</v>
      </c>
      <c r="P161">
        <f t="shared" si="35"/>
        <v>70.12</v>
      </c>
      <c r="Q161">
        <f t="shared" si="36"/>
        <v>59.660000000000004</v>
      </c>
      <c r="R161">
        <f t="shared" si="37"/>
        <v>38.74</v>
      </c>
      <c r="S161">
        <f t="shared" si="38"/>
        <v>28.28</v>
      </c>
      <c r="AC161">
        <v>15.4</v>
      </c>
      <c r="AD161">
        <v>18.899999999999999</v>
      </c>
      <c r="AE161">
        <v>27.4</v>
      </c>
    </row>
    <row r="162" spans="1:31" x14ac:dyDescent="0.15">
      <c r="A162">
        <f t="shared" si="27"/>
        <v>13</v>
      </c>
      <c r="B162" s="2">
        <v>4</v>
      </c>
      <c r="C162" s="3">
        <f t="shared" si="34"/>
        <v>13.333333333333334</v>
      </c>
      <c r="E162">
        <v>158.80000000000001</v>
      </c>
      <c r="F162">
        <v>7.8</v>
      </c>
      <c r="G162">
        <f t="shared" si="28"/>
        <v>174.4</v>
      </c>
      <c r="H162">
        <f t="shared" si="29"/>
        <v>166.60000000000002</v>
      </c>
      <c r="I162">
        <f t="shared" si="30"/>
        <v>151</v>
      </c>
      <c r="J162">
        <f t="shared" si="31"/>
        <v>143.20000000000002</v>
      </c>
      <c r="K162">
        <f t="shared" si="32"/>
        <v>139.30000000000001</v>
      </c>
      <c r="L162">
        <f t="shared" si="33"/>
        <v>135.4</v>
      </c>
      <c r="N162">
        <v>49.6</v>
      </c>
      <c r="O162">
        <v>10.47</v>
      </c>
      <c r="P162">
        <f t="shared" si="35"/>
        <v>70.540000000000006</v>
      </c>
      <c r="Q162">
        <f t="shared" si="36"/>
        <v>60.07</v>
      </c>
      <c r="R162">
        <f t="shared" si="37"/>
        <v>39.130000000000003</v>
      </c>
      <c r="S162">
        <f t="shared" si="38"/>
        <v>28.66</v>
      </c>
      <c r="AC162">
        <v>15.4</v>
      </c>
      <c r="AD162">
        <v>19</v>
      </c>
      <c r="AE162">
        <v>27.5</v>
      </c>
    </row>
    <row r="163" spans="1:31" x14ac:dyDescent="0.15">
      <c r="A163">
        <f t="shared" si="27"/>
        <v>13</v>
      </c>
      <c r="B163" s="2">
        <v>5</v>
      </c>
      <c r="C163" s="3">
        <f t="shared" si="34"/>
        <v>13.416666666666666</v>
      </c>
      <c r="E163">
        <v>159.4</v>
      </c>
      <c r="F163">
        <v>7.7</v>
      </c>
      <c r="G163">
        <f t="shared" si="28"/>
        <v>174.8</v>
      </c>
      <c r="H163">
        <f t="shared" si="29"/>
        <v>167.1</v>
      </c>
      <c r="I163">
        <f t="shared" si="30"/>
        <v>151.70000000000002</v>
      </c>
      <c r="J163">
        <f t="shared" si="31"/>
        <v>144</v>
      </c>
      <c r="K163">
        <f t="shared" si="32"/>
        <v>140.15</v>
      </c>
      <c r="L163">
        <f t="shared" si="33"/>
        <v>136.30000000000001</v>
      </c>
      <c r="N163">
        <v>50</v>
      </c>
      <c r="O163">
        <v>10.47</v>
      </c>
      <c r="P163">
        <f t="shared" si="35"/>
        <v>70.94</v>
      </c>
      <c r="Q163">
        <f t="shared" si="36"/>
        <v>60.47</v>
      </c>
      <c r="R163">
        <f t="shared" si="37"/>
        <v>39.53</v>
      </c>
      <c r="S163">
        <f t="shared" si="38"/>
        <v>29.06</v>
      </c>
      <c r="AC163">
        <v>15.4</v>
      </c>
      <c r="AD163">
        <v>19</v>
      </c>
      <c r="AE163">
        <v>27.5</v>
      </c>
    </row>
    <row r="164" spans="1:31" x14ac:dyDescent="0.15">
      <c r="A164">
        <f t="shared" si="27"/>
        <v>13</v>
      </c>
      <c r="B164" s="2">
        <v>6</v>
      </c>
      <c r="C164" s="3">
        <f t="shared" si="34"/>
        <v>13.5</v>
      </c>
      <c r="E164">
        <v>160</v>
      </c>
      <c r="F164">
        <v>7.7</v>
      </c>
      <c r="G164">
        <f t="shared" si="28"/>
        <v>175.4</v>
      </c>
      <c r="H164">
        <f t="shared" si="29"/>
        <v>167.7</v>
      </c>
      <c r="I164">
        <f t="shared" si="30"/>
        <v>152.30000000000001</v>
      </c>
      <c r="J164">
        <f t="shared" si="31"/>
        <v>144.6</v>
      </c>
      <c r="K164">
        <f t="shared" si="32"/>
        <v>140.75</v>
      </c>
      <c r="L164">
        <f t="shared" si="33"/>
        <v>136.9</v>
      </c>
      <c r="N164">
        <v>50.4</v>
      </c>
      <c r="O164">
        <v>10.48</v>
      </c>
      <c r="P164">
        <f t="shared" si="35"/>
        <v>71.36</v>
      </c>
      <c r="Q164">
        <f t="shared" si="36"/>
        <v>60.879999999999995</v>
      </c>
      <c r="R164">
        <f t="shared" si="37"/>
        <v>39.92</v>
      </c>
      <c r="S164">
        <f t="shared" si="38"/>
        <v>29.439999999999998</v>
      </c>
      <c r="AC164">
        <v>15.5</v>
      </c>
      <c r="AD164">
        <v>19.100000000000001</v>
      </c>
      <c r="AE164">
        <v>27.6</v>
      </c>
    </row>
    <row r="165" spans="1:31" x14ac:dyDescent="0.15">
      <c r="A165">
        <f t="shared" si="27"/>
        <v>13</v>
      </c>
      <c r="B165" s="2">
        <v>7</v>
      </c>
      <c r="C165" s="3">
        <f t="shared" si="34"/>
        <v>13.583333333333334</v>
      </c>
      <c r="E165">
        <v>160.5</v>
      </c>
      <c r="F165">
        <v>7.6</v>
      </c>
      <c r="G165">
        <f t="shared" si="28"/>
        <v>175.7</v>
      </c>
      <c r="H165">
        <f t="shared" si="29"/>
        <v>168.1</v>
      </c>
      <c r="I165">
        <f t="shared" si="30"/>
        <v>152.9</v>
      </c>
      <c r="J165">
        <f t="shared" si="31"/>
        <v>145.30000000000001</v>
      </c>
      <c r="K165">
        <f t="shared" si="32"/>
        <v>141.5</v>
      </c>
      <c r="L165">
        <f t="shared" si="33"/>
        <v>137.69999999999999</v>
      </c>
      <c r="N165">
        <v>50.8</v>
      </c>
      <c r="O165">
        <v>10.47</v>
      </c>
      <c r="P165">
        <f t="shared" si="35"/>
        <v>71.739999999999995</v>
      </c>
      <c r="Q165">
        <f t="shared" si="36"/>
        <v>61.269999999999996</v>
      </c>
      <c r="R165">
        <f t="shared" si="37"/>
        <v>40.33</v>
      </c>
      <c r="S165">
        <f t="shared" si="38"/>
        <v>29.859999999999996</v>
      </c>
      <c r="AC165">
        <v>15.5</v>
      </c>
      <c r="AD165">
        <v>19.2</v>
      </c>
      <c r="AE165">
        <v>27.6</v>
      </c>
    </row>
    <row r="166" spans="1:31" x14ac:dyDescent="0.15">
      <c r="A166">
        <f t="shared" si="27"/>
        <v>13</v>
      </c>
      <c r="B166" s="2">
        <v>8</v>
      </c>
      <c r="C166" s="3">
        <f t="shared" si="34"/>
        <v>13.666666666666666</v>
      </c>
      <c r="E166">
        <v>160.9</v>
      </c>
      <c r="F166">
        <v>7.5</v>
      </c>
      <c r="G166">
        <f t="shared" si="28"/>
        <v>175.9</v>
      </c>
      <c r="H166">
        <f t="shared" si="29"/>
        <v>168.4</v>
      </c>
      <c r="I166">
        <f t="shared" si="30"/>
        <v>153.4</v>
      </c>
      <c r="J166">
        <f t="shared" si="31"/>
        <v>145.9</v>
      </c>
      <c r="K166">
        <f t="shared" si="32"/>
        <v>142.15</v>
      </c>
      <c r="L166">
        <f t="shared" si="33"/>
        <v>138.4</v>
      </c>
      <c r="N166">
        <v>51.2</v>
      </c>
      <c r="O166">
        <v>10.46</v>
      </c>
      <c r="P166">
        <f t="shared" si="35"/>
        <v>72.12</v>
      </c>
      <c r="Q166">
        <f t="shared" si="36"/>
        <v>61.660000000000004</v>
      </c>
      <c r="R166">
        <f t="shared" si="37"/>
        <v>40.74</v>
      </c>
      <c r="S166">
        <f t="shared" si="38"/>
        <v>30.28</v>
      </c>
      <c r="AC166">
        <v>15.6</v>
      </c>
      <c r="AD166">
        <v>19.2</v>
      </c>
      <c r="AE166">
        <v>27.7</v>
      </c>
    </row>
    <row r="167" spans="1:31" x14ac:dyDescent="0.15">
      <c r="A167">
        <f t="shared" ref="A167:A212" si="39">A155+1</f>
        <v>13</v>
      </c>
      <c r="B167" s="2">
        <v>9</v>
      </c>
      <c r="C167" s="3">
        <f t="shared" si="34"/>
        <v>13.75</v>
      </c>
      <c r="E167">
        <v>161.4</v>
      </c>
      <c r="F167">
        <v>7.4</v>
      </c>
      <c r="G167">
        <f t="shared" si="28"/>
        <v>176.20000000000002</v>
      </c>
      <c r="H167">
        <f t="shared" si="29"/>
        <v>168.8</v>
      </c>
      <c r="I167">
        <f t="shared" si="30"/>
        <v>154</v>
      </c>
      <c r="J167">
        <f t="shared" si="31"/>
        <v>146.6</v>
      </c>
      <c r="K167">
        <f t="shared" si="32"/>
        <v>142.9</v>
      </c>
      <c r="L167">
        <f t="shared" si="33"/>
        <v>139.19999999999999</v>
      </c>
      <c r="N167">
        <v>51.7</v>
      </c>
      <c r="O167">
        <v>10.45</v>
      </c>
      <c r="P167">
        <f t="shared" si="35"/>
        <v>72.599999999999994</v>
      </c>
      <c r="Q167">
        <f t="shared" si="36"/>
        <v>62.150000000000006</v>
      </c>
      <c r="R167">
        <f t="shared" si="37"/>
        <v>41.25</v>
      </c>
      <c r="S167">
        <f t="shared" si="38"/>
        <v>30.800000000000004</v>
      </c>
      <c r="AC167">
        <v>15.6</v>
      </c>
      <c r="AD167">
        <v>19.3</v>
      </c>
      <c r="AE167">
        <v>27.7</v>
      </c>
    </row>
    <row r="168" spans="1:31" x14ac:dyDescent="0.15">
      <c r="A168">
        <f t="shared" si="39"/>
        <v>13</v>
      </c>
      <c r="B168" s="2">
        <v>10</v>
      </c>
      <c r="C168" s="3">
        <f t="shared" si="34"/>
        <v>13.833333333333334</v>
      </c>
      <c r="E168">
        <v>161.80000000000001</v>
      </c>
      <c r="F168">
        <v>7.3</v>
      </c>
      <c r="G168">
        <f t="shared" si="28"/>
        <v>176.4</v>
      </c>
      <c r="H168">
        <f t="shared" si="29"/>
        <v>169.10000000000002</v>
      </c>
      <c r="I168">
        <f t="shared" si="30"/>
        <v>154.5</v>
      </c>
      <c r="J168">
        <f t="shared" si="31"/>
        <v>147.20000000000002</v>
      </c>
      <c r="K168">
        <f t="shared" si="32"/>
        <v>143.55000000000001</v>
      </c>
      <c r="L168">
        <f t="shared" si="33"/>
        <v>139.9</v>
      </c>
      <c r="N168">
        <v>52.1</v>
      </c>
      <c r="O168">
        <v>10.43</v>
      </c>
      <c r="P168">
        <f t="shared" si="35"/>
        <v>72.960000000000008</v>
      </c>
      <c r="Q168">
        <f t="shared" si="36"/>
        <v>62.53</v>
      </c>
      <c r="R168">
        <f t="shared" si="37"/>
        <v>41.67</v>
      </c>
      <c r="S168">
        <f t="shared" si="38"/>
        <v>31.240000000000002</v>
      </c>
      <c r="AC168">
        <v>15.7</v>
      </c>
      <c r="AD168">
        <v>19.3</v>
      </c>
      <c r="AE168">
        <v>27.8</v>
      </c>
    </row>
    <row r="169" spans="1:31" x14ac:dyDescent="0.15">
      <c r="A169">
        <f t="shared" si="39"/>
        <v>13</v>
      </c>
      <c r="B169" s="2">
        <v>11</v>
      </c>
      <c r="C169" s="3">
        <f t="shared" si="34"/>
        <v>13.916666666666666</v>
      </c>
      <c r="E169">
        <v>162.30000000000001</v>
      </c>
      <c r="F169">
        <v>7.2</v>
      </c>
      <c r="G169">
        <f t="shared" si="28"/>
        <v>176.70000000000002</v>
      </c>
      <c r="H169">
        <f t="shared" si="29"/>
        <v>169.5</v>
      </c>
      <c r="I169">
        <f t="shared" si="30"/>
        <v>155.10000000000002</v>
      </c>
      <c r="J169">
        <f t="shared" si="31"/>
        <v>147.9</v>
      </c>
      <c r="K169">
        <f t="shared" si="32"/>
        <v>144.30000000000001</v>
      </c>
      <c r="L169">
        <f t="shared" si="33"/>
        <v>140.70000000000002</v>
      </c>
      <c r="N169">
        <v>52.5</v>
      </c>
      <c r="O169">
        <v>10.42</v>
      </c>
      <c r="P169">
        <f t="shared" si="35"/>
        <v>73.34</v>
      </c>
      <c r="Q169">
        <f t="shared" si="36"/>
        <v>62.92</v>
      </c>
      <c r="R169">
        <f t="shared" si="37"/>
        <v>42.08</v>
      </c>
      <c r="S169">
        <f t="shared" si="38"/>
        <v>31.66</v>
      </c>
      <c r="AC169">
        <v>15.7</v>
      </c>
      <c r="AD169">
        <v>19.399999999999999</v>
      </c>
      <c r="AE169">
        <v>27.8</v>
      </c>
    </row>
    <row r="170" spans="1:31" x14ac:dyDescent="0.15">
      <c r="A170">
        <f t="shared" si="39"/>
        <v>14</v>
      </c>
      <c r="B170" s="2">
        <v>0</v>
      </c>
      <c r="C170" s="3">
        <f t="shared" si="34"/>
        <v>14</v>
      </c>
      <c r="E170">
        <v>162.80000000000001</v>
      </c>
      <c r="F170">
        <v>7.1</v>
      </c>
      <c r="G170">
        <f t="shared" si="28"/>
        <v>177</v>
      </c>
      <c r="H170">
        <f t="shared" si="29"/>
        <v>169.9</v>
      </c>
      <c r="I170">
        <f t="shared" si="30"/>
        <v>155.70000000000002</v>
      </c>
      <c r="J170">
        <f t="shared" si="31"/>
        <v>148.60000000000002</v>
      </c>
      <c r="K170">
        <f t="shared" si="32"/>
        <v>145.05000000000001</v>
      </c>
      <c r="L170">
        <f t="shared" si="33"/>
        <v>141.5</v>
      </c>
      <c r="N170">
        <v>52.9</v>
      </c>
      <c r="O170">
        <v>10.41</v>
      </c>
      <c r="P170">
        <f t="shared" si="35"/>
        <v>73.72</v>
      </c>
      <c r="Q170">
        <f t="shared" si="36"/>
        <v>63.31</v>
      </c>
      <c r="R170">
        <f t="shared" si="37"/>
        <v>42.489999999999995</v>
      </c>
      <c r="S170">
        <f t="shared" si="38"/>
        <v>32.08</v>
      </c>
      <c r="AC170">
        <v>15.7</v>
      </c>
      <c r="AD170">
        <v>19.399999999999999</v>
      </c>
      <c r="AE170">
        <v>27.8</v>
      </c>
    </row>
    <row r="171" spans="1:31" x14ac:dyDescent="0.15">
      <c r="A171">
        <f t="shared" si="39"/>
        <v>14</v>
      </c>
      <c r="B171" s="2">
        <v>1</v>
      </c>
      <c r="C171" s="3">
        <f t="shared" si="34"/>
        <v>14.083333333333334</v>
      </c>
      <c r="E171">
        <v>163.19999999999999</v>
      </c>
      <c r="F171">
        <v>7</v>
      </c>
      <c r="G171">
        <f t="shared" si="28"/>
        <v>177.2</v>
      </c>
      <c r="H171">
        <f t="shared" si="29"/>
        <v>170.2</v>
      </c>
      <c r="I171">
        <f t="shared" si="30"/>
        <v>156.19999999999999</v>
      </c>
      <c r="J171">
        <f t="shared" si="31"/>
        <v>149.19999999999999</v>
      </c>
      <c r="K171">
        <f t="shared" si="32"/>
        <v>145.69999999999999</v>
      </c>
      <c r="L171">
        <f t="shared" si="33"/>
        <v>142.19999999999999</v>
      </c>
      <c r="N171">
        <v>53.3</v>
      </c>
      <c r="O171">
        <v>10.4</v>
      </c>
      <c r="P171">
        <f t="shared" si="35"/>
        <v>74.099999999999994</v>
      </c>
      <c r="Q171">
        <f t="shared" si="36"/>
        <v>63.699999999999996</v>
      </c>
      <c r="R171">
        <f t="shared" si="37"/>
        <v>42.9</v>
      </c>
      <c r="S171">
        <f t="shared" si="38"/>
        <v>32.5</v>
      </c>
      <c r="AC171">
        <v>15.8</v>
      </c>
      <c r="AD171">
        <v>19.5</v>
      </c>
      <c r="AE171">
        <v>27.9</v>
      </c>
    </row>
    <row r="172" spans="1:31" x14ac:dyDescent="0.15">
      <c r="A172">
        <f t="shared" si="39"/>
        <v>14</v>
      </c>
      <c r="B172" s="2">
        <v>2</v>
      </c>
      <c r="C172" s="3">
        <f t="shared" si="34"/>
        <v>14.166666666666666</v>
      </c>
      <c r="E172">
        <v>163.69999999999999</v>
      </c>
      <c r="F172">
        <v>6.9</v>
      </c>
      <c r="G172">
        <f t="shared" si="28"/>
        <v>177.5</v>
      </c>
      <c r="H172">
        <f t="shared" si="29"/>
        <v>170.6</v>
      </c>
      <c r="I172">
        <f t="shared" si="30"/>
        <v>156.79999999999998</v>
      </c>
      <c r="J172">
        <f t="shared" si="31"/>
        <v>149.89999999999998</v>
      </c>
      <c r="K172">
        <f t="shared" si="32"/>
        <v>146.44999999999999</v>
      </c>
      <c r="L172">
        <f t="shared" si="33"/>
        <v>143</v>
      </c>
      <c r="N172">
        <v>53.7</v>
      </c>
      <c r="O172">
        <v>10.39</v>
      </c>
      <c r="P172">
        <f t="shared" si="35"/>
        <v>74.48</v>
      </c>
      <c r="Q172">
        <f t="shared" si="36"/>
        <v>64.09</v>
      </c>
      <c r="R172">
        <f t="shared" si="37"/>
        <v>43.31</v>
      </c>
      <c r="S172">
        <f t="shared" si="38"/>
        <v>32.92</v>
      </c>
      <c r="AC172">
        <v>15.8</v>
      </c>
      <c r="AD172">
        <v>19.5</v>
      </c>
      <c r="AE172">
        <v>27.9</v>
      </c>
    </row>
    <row r="173" spans="1:31" x14ac:dyDescent="0.15">
      <c r="A173">
        <f t="shared" si="39"/>
        <v>14</v>
      </c>
      <c r="B173" s="2">
        <v>3</v>
      </c>
      <c r="C173" s="3">
        <f t="shared" si="34"/>
        <v>14.25</v>
      </c>
      <c r="E173">
        <v>164.1</v>
      </c>
      <c r="F173">
        <v>6.8</v>
      </c>
      <c r="G173">
        <f t="shared" si="28"/>
        <v>177.7</v>
      </c>
      <c r="H173">
        <f t="shared" si="29"/>
        <v>170.9</v>
      </c>
      <c r="I173">
        <f t="shared" si="30"/>
        <v>157.29999999999998</v>
      </c>
      <c r="J173">
        <f t="shared" si="31"/>
        <v>150.5</v>
      </c>
      <c r="K173">
        <f t="shared" si="32"/>
        <v>147.1</v>
      </c>
      <c r="L173">
        <f t="shared" si="33"/>
        <v>143.69999999999999</v>
      </c>
      <c r="N173">
        <v>54.2</v>
      </c>
      <c r="O173">
        <v>10.38</v>
      </c>
      <c r="P173">
        <f t="shared" si="35"/>
        <v>74.960000000000008</v>
      </c>
      <c r="Q173">
        <f t="shared" si="36"/>
        <v>64.58</v>
      </c>
      <c r="R173">
        <f t="shared" si="37"/>
        <v>43.82</v>
      </c>
      <c r="S173">
        <f t="shared" si="38"/>
        <v>33.44</v>
      </c>
      <c r="AC173">
        <v>15.9</v>
      </c>
      <c r="AD173">
        <v>19.600000000000001</v>
      </c>
      <c r="AE173">
        <v>28</v>
      </c>
    </row>
    <row r="174" spans="1:31" x14ac:dyDescent="0.15">
      <c r="A174">
        <f t="shared" si="39"/>
        <v>14</v>
      </c>
      <c r="B174" s="2">
        <v>4</v>
      </c>
      <c r="C174" s="3">
        <f t="shared" si="34"/>
        <v>14.333333333333334</v>
      </c>
      <c r="E174">
        <v>164.6</v>
      </c>
      <c r="F174">
        <v>6.7</v>
      </c>
      <c r="G174">
        <f t="shared" si="28"/>
        <v>178</v>
      </c>
      <c r="H174">
        <f t="shared" si="29"/>
        <v>171.29999999999998</v>
      </c>
      <c r="I174">
        <f t="shared" si="30"/>
        <v>157.9</v>
      </c>
      <c r="J174">
        <f t="shared" si="31"/>
        <v>151.19999999999999</v>
      </c>
      <c r="K174">
        <f t="shared" si="32"/>
        <v>147.85</v>
      </c>
      <c r="L174">
        <f t="shared" si="33"/>
        <v>144.5</v>
      </c>
      <c r="N174">
        <v>54.6</v>
      </c>
      <c r="O174">
        <v>10.36</v>
      </c>
      <c r="P174">
        <f t="shared" si="35"/>
        <v>75.319999999999993</v>
      </c>
      <c r="Q174">
        <f t="shared" si="36"/>
        <v>64.960000000000008</v>
      </c>
      <c r="R174">
        <f t="shared" si="37"/>
        <v>44.24</v>
      </c>
      <c r="S174">
        <f t="shared" si="38"/>
        <v>33.880000000000003</v>
      </c>
      <c r="AC174">
        <v>15.9</v>
      </c>
      <c r="AD174">
        <v>19.600000000000001</v>
      </c>
      <c r="AE174">
        <v>28</v>
      </c>
    </row>
    <row r="175" spans="1:31" x14ac:dyDescent="0.15">
      <c r="A175">
        <f t="shared" si="39"/>
        <v>14</v>
      </c>
      <c r="B175" s="2">
        <v>5</v>
      </c>
      <c r="C175" s="3">
        <f t="shared" si="34"/>
        <v>14.416666666666666</v>
      </c>
      <c r="E175">
        <v>165</v>
      </c>
      <c r="F175">
        <v>6.6</v>
      </c>
      <c r="G175">
        <f t="shared" si="28"/>
        <v>178.2</v>
      </c>
      <c r="H175">
        <f t="shared" si="29"/>
        <v>171.6</v>
      </c>
      <c r="I175">
        <f t="shared" si="30"/>
        <v>158.4</v>
      </c>
      <c r="J175">
        <f t="shared" si="31"/>
        <v>151.80000000000001</v>
      </c>
      <c r="K175">
        <f t="shared" si="32"/>
        <v>148.5</v>
      </c>
      <c r="L175">
        <f t="shared" si="33"/>
        <v>145.19999999999999</v>
      </c>
      <c r="N175">
        <v>55</v>
      </c>
      <c r="O175">
        <v>10.35</v>
      </c>
      <c r="P175">
        <f t="shared" si="35"/>
        <v>75.7</v>
      </c>
      <c r="Q175">
        <f t="shared" si="36"/>
        <v>65.349999999999994</v>
      </c>
      <c r="R175">
        <f t="shared" si="37"/>
        <v>44.65</v>
      </c>
      <c r="S175">
        <f t="shared" si="38"/>
        <v>34.299999999999997</v>
      </c>
      <c r="AC175">
        <v>15.9</v>
      </c>
      <c r="AD175">
        <v>19.7</v>
      </c>
      <c r="AE175">
        <v>28.1</v>
      </c>
    </row>
    <row r="176" spans="1:31" x14ac:dyDescent="0.15">
      <c r="A176">
        <f t="shared" si="39"/>
        <v>14</v>
      </c>
      <c r="B176" s="2">
        <v>6</v>
      </c>
      <c r="C176" s="3">
        <f t="shared" si="34"/>
        <v>14.5</v>
      </c>
      <c r="E176">
        <v>165.5</v>
      </c>
      <c r="F176">
        <v>6.5</v>
      </c>
      <c r="G176">
        <f t="shared" si="28"/>
        <v>178.5</v>
      </c>
      <c r="H176">
        <f t="shared" si="29"/>
        <v>172</v>
      </c>
      <c r="I176">
        <f t="shared" si="30"/>
        <v>159</v>
      </c>
      <c r="J176">
        <f t="shared" si="31"/>
        <v>152.5</v>
      </c>
      <c r="K176">
        <f t="shared" si="32"/>
        <v>149.25</v>
      </c>
      <c r="L176">
        <f t="shared" si="33"/>
        <v>146</v>
      </c>
      <c r="N176">
        <v>55.4</v>
      </c>
      <c r="O176">
        <v>10.34</v>
      </c>
      <c r="P176">
        <f t="shared" si="35"/>
        <v>76.08</v>
      </c>
      <c r="Q176">
        <f t="shared" si="36"/>
        <v>65.739999999999995</v>
      </c>
      <c r="R176">
        <f t="shared" si="37"/>
        <v>45.06</v>
      </c>
      <c r="S176">
        <f t="shared" si="38"/>
        <v>34.72</v>
      </c>
      <c r="AC176">
        <v>16</v>
      </c>
      <c r="AD176">
        <v>19.7</v>
      </c>
      <c r="AE176">
        <v>28.1</v>
      </c>
    </row>
    <row r="177" spans="1:31" x14ac:dyDescent="0.15">
      <c r="A177">
        <f t="shared" si="39"/>
        <v>14</v>
      </c>
      <c r="B177" s="2">
        <v>7</v>
      </c>
      <c r="C177" s="3">
        <f t="shared" si="34"/>
        <v>14.583333333333334</v>
      </c>
      <c r="E177">
        <v>165.8</v>
      </c>
      <c r="F177">
        <v>6.4</v>
      </c>
      <c r="G177">
        <f t="shared" si="28"/>
        <v>178.60000000000002</v>
      </c>
      <c r="H177">
        <f t="shared" si="29"/>
        <v>172.20000000000002</v>
      </c>
      <c r="I177">
        <f t="shared" si="30"/>
        <v>159.4</v>
      </c>
      <c r="J177">
        <f t="shared" si="31"/>
        <v>153</v>
      </c>
      <c r="K177">
        <f t="shared" si="32"/>
        <v>149.80000000000001</v>
      </c>
      <c r="L177">
        <f t="shared" si="33"/>
        <v>146.60000000000002</v>
      </c>
      <c r="N177">
        <v>55.8</v>
      </c>
      <c r="O177">
        <v>10.38</v>
      </c>
      <c r="P177">
        <f t="shared" si="35"/>
        <v>76.56</v>
      </c>
      <c r="Q177">
        <f t="shared" si="36"/>
        <v>66.179999999999993</v>
      </c>
      <c r="R177">
        <f t="shared" si="37"/>
        <v>45.419999999999995</v>
      </c>
      <c r="S177">
        <f t="shared" si="38"/>
        <v>35.039999999999992</v>
      </c>
      <c r="AC177">
        <v>16</v>
      </c>
      <c r="AD177">
        <v>19.8</v>
      </c>
      <c r="AE177">
        <v>28.2</v>
      </c>
    </row>
    <row r="178" spans="1:31" x14ac:dyDescent="0.15">
      <c r="A178">
        <f t="shared" si="39"/>
        <v>14</v>
      </c>
      <c r="B178" s="2">
        <v>8</v>
      </c>
      <c r="C178" s="3">
        <f t="shared" si="34"/>
        <v>14.666666666666666</v>
      </c>
      <c r="E178">
        <v>166</v>
      </c>
      <c r="F178">
        <v>6.4</v>
      </c>
      <c r="G178">
        <f t="shared" si="28"/>
        <v>178.8</v>
      </c>
      <c r="H178">
        <f t="shared" si="29"/>
        <v>172.4</v>
      </c>
      <c r="I178">
        <f t="shared" si="30"/>
        <v>159.6</v>
      </c>
      <c r="J178">
        <f t="shared" si="31"/>
        <v>153.19999999999999</v>
      </c>
      <c r="K178">
        <f t="shared" si="32"/>
        <v>150</v>
      </c>
      <c r="L178">
        <f t="shared" si="33"/>
        <v>146.80000000000001</v>
      </c>
      <c r="N178">
        <v>56.1</v>
      </c>
      <c r="O178">
        <v>10.42</v>
      </c>
      <c r="P178">
        <f t="shared" si="35"/>
        <v>76.94</v>
      </c>
      <c r="Q178">
        <f t="shared" si="36"/>
        <v>66.52</v>
      </c>
      <c r="R178">
        <f t="shared" si="37"/>
        <v>45.68</v>
      </c>
      <c r="S178">
        <f t="shared" si="38"/>
        <v>35.260000000000005</v>
      </c>
      <c r="AC178">
        <v>16.100000000000001</v>
      </c>
      <c r="AD178">
        <v>19.8</v>
      </c>
      <c r="AE178">
        <v>28.2</v>
      </c>
    </row>
    <row r="179" spans="1:31" x14ac:dyDescent="0.15">
      <c r="A179">
        <f t="shared" si="39"/>
        <v>14</v>
      </c>
      <c r="B179" s="2">
        <v>9</v>
      </c>
      <c r="C179" s="3">
        <f t="shared" si="34"/>
        <v>14.75</v>
      </c>
      <c r="E179">
        <v>166.3</v>
      </c>
      <c r="F179">
        <v>6.3</v>
      </c>
      <c r="G179">
        <f t="shared" si="28"/>
        <v>178.9</v>
      </c>
      <c r="H179">
        <f t="shared" si="29"/>
        <v>172.60000000000002</v>
      </c>
      <c r="I179">
        <f t="shared" si="30"/>
        <v>160</v>
      </c>
      <c r="J179">
        <f t="shared" si="31"/>
        <v>153.70000000000002</v>
      </c>
      <c r="K179">
        <f t="shared" si="32"/>
        <v>150.55000000000001</v>
      </c>
      <c r="L179">
        <f t="shared" si="33"/>
        <v>147.4</v>
      </c>
      <c r="N179">
        <v>56.5</v>
      </c>
      <c r="O179">
        <v>10.46</v>
      </c>
      <c r="P179">
        <f t="shared" si="35"/>
        <v>77.42</v>
      </c>
      <c r="Q179">
        <f t="shared" si="36"/>
        <v>66.960000000000008</v>
      </c>
      <c r="R179">
        <f t="shared" si="37"/>
        <v>46.04</v>
      </c>
      <c r="S179">
        <f t="shared" si="38"/>
        <v>35.58</v>
      </c>
      <c r="AC179">
        <v>16.100000000000001</v>
      </c>
      <c r="AD179">
        <v>19.899999999999999</v>
      </c>
      <c r="AE179">
        <v>28.3</v>
      </c>
    </row>
    <row r="180" spans="1:31" x14ac:dyDescent="0.15">
      <c r="A180">
        <f t="shared" si="39"/>
        <v>14</v>
      </c>
      <c r="B180" s="2">
        <v>10</v>
      </c>
      <c r="C180" s="3">
        <f t="shared" si="34"/>
        <v>14.833333333333334</v>
      </c>
      <c r="E180">
        <v>166.5</v>
      </c>
      <c r="F180">
        <v>6.3</v>
      </c>
      <c r="G180">
        <f t="shared" si="28"/>
        <v>179.1</v>
      </c>
      <c r="H180">
        <f t="shared" si="29"/>
        <v>172.8</v>
      </c>
      <c r="I180">
        <f t="shared" si="30"/>
        <v>160.19999999999999</v>
      </c>
      <c r="J180">
        <f t="shared" si="31"/>
        <v>153.9</v>
      </c>
      <c r="K180">
        <f t="shared" si="32"/>
        <v>150.75</v>
      </c>
      <c r="L180">
        <f t="shared" si="33"/>
        <v>147.6</v>
      </c>
      <c r="N180">
        <v>56.8</v>
      </c>
      <c r="O180">
        <v>10.5</v>
      </c>
      <c r="P180">
        <f t="shared" si="35"/>
        <v>77.8</v>
      </c>
      <c r="Q180">
        <f t="shared" si="36"/>
        <v>67.3</v>
      </c>
      <c r="R180">
        <f t="shared" si="37"/>
        <v>46.3</v>
      </c>
      <c r="S180">
        <f t="shared" si="38"/>
        <v>35.799999999999997</v>
      </c>
      <c r="AC180">
        <v>16.100000000000001</v>
      </c>
      <c r="AD180">
        <v>19.899999999999999</v>
      </c>
      <c r="AE180">
        <v>28.3</v>
      </c>
    </row>
    <row r="181" spans="1:31" x14ac:dyDescent="0.15">
      <c r="A181">
        <f t="shared" si="39"/>
        <v>14</v>
      </c>
      <c r="B181" s="2">
        <v>11</v>
      </c>
      <c r="C181" s="3">
        <f t="shared" si="34"/>
        <v>14.916666666666666</v>
      </c>
      <c r="E181">
        <v>166.8</v>
      </c>
      <c r="F181">
        <v>6.2</v>
      </c>
      <c r="G181">
        <f t="shared" si="28"/>
        <v>179.20000000000002</v>
      </c>
      <c r="H181">
        <f t="shared" si="29"/>
        <v>173</v>
      </c>
      <c r="I181">
        <f t="shared" si="30"/>
        <v>160.60000000000002</v>
      </c>
      <c r="J181">
        <f t="shared" si="31"/>
        <v>154.4</v>
      </c>
      <c r="K181">
        <f t="shared" si="32"/>
        <v>151.30000000000001</v>
      </c>
      <c r="L181">
        <f t="shared" si="33"/>
        <v>148.20000000000002</v>
      </c>
      <c r="N181">
        <v>57.2</v>
      </c>
      <c r="O181">
        <v>10.54</v>
      </c>
      <c r="P181">
        <f t="shared" si="35"/>
        <v>78.28</v>
      </c>
      <c r="Q181">
        <f t="shared" si="36"/>
        <v>67.740000000000009</v>
      </c>
      <c r="R181">
        <f t="shared" si="37"/>
        <v>46.660000000000004</v>
      </c>
      <c r="S181">
        <f t="shared" si="38"/>
        <v>36.120000000000005</v>
      </c>
      <c r="AC181">
        <v>16.2</v>
      </c>
      <c r="AD181">
        <v>20</v>
      </c>
      <c r="AE181">
        <v>28.4</v>
      </c>
    </row>
    <row r="182" spans="1:31" x14ac:dyDescent="0.15">
      <c r="A182">
        <f t="shared" si="39"/>
        <v>15</v>
      </c>
      <c r="B182" s="2">
        <v>0</v>
      </c>
      <c r="C182" s="3">
        <f t="shared" si="34"/>
        <v>15</v>
      </c>
      <c r="E182">
        <v>167.1</v>
      </c>
      <c r="F182">
        <v>6.2</v>
      </c>
      <c r="G182">
        <f t="shared" si="28"/>
        <v>179.5</v>
      </c>
      <c r="H182">
        <f t="shared" si="29"/>
        <v>173.29999999999998</v>
      </c>
      <c r="I182">
        <f t="shared" si="30"/>
        <v>160.9</v>
      </c>
      <c r="J182">
        <f t="shared" si="31"/>
        <v>154.69999999999999</v>
      </c>
      <c r="K182">
        <f t="shared" si="32"/>
        <v>151.6</v>
      </c>
      <c r="L182">
        <f t="shared" si="33"/>
        <v>148.5</v>
      </c>
      <c r="N182">
        <v>57.6</v>
      </c>
      <c r="O182">
        <v>10.59</v>
      </c>
      <c r="P182">
        <f t="shared" si="35"/>
        <v>78.78</v>
      </c>
      <c r="Q182">
        <f t="shared" si="36"/>
        <v>68.19</v>
      </c>
      <c r="R182">
        <f t="shared" si="37"/>
        <v>47.010000000000005</v>
      </c>
      <c r="S182">
        <f t="shared" si="38"/>
        <v>36.42</v>
      </c>
      <c r="AC182">
        <v>16.2</v>
      </c>
      <c r="AD182">
        <v>20</v>
      </c>
      <c r="AE182">
        <v>28.4</v>
      </c>
    </row>
    <row r="183" spans="1:31" x14ac:dyDescent="0.15">
      <c r="A183">
        <f t="shared" si="39"/>
        <v>15</v>
      </c>
      <c r="B183" s="2">
        <v>1</v>
      </c>
      <c r="C183" s="3">
        <f t="shared" si="34"/>
        <v>15.083333333333334</v>
      </c>
      <c r="E183">
        <v>167.3</v>
      </c>
      <c r="F183">
        <v>6.1</v>
      </c>
      <c r="G183">
        <f t="shared" si="28"/>
        <v>179.5</v>
      </c>
      <c r="H183">
        <f t="shared" si="29"/>
        <v>173.4</v>
      </c>
      <c r="I183">
        <f t="shared" si="30"/>
        <v>161.20000000000002</v>
      </c>
      <c r="J183">
        <f t="shared" si="31"/>
        <v>155.10000000000002</v>
      </c>
      <c r="K183">
        <f t="shared" si="32"/>
        <v>152.05000000000001</v>
      </c>
      <c r="L183">
        <f t="shared" si="33"/>
        <v>149</v>
      </c>
      <c r="N183">
        <v>57.9</v>
      </c>
      <c r="O183">
        <v>10.63</v>
      </c>
      <c r="P183">
        <f t="shared" si="35"/>
        <v>79.16</v>
      </c>
      <c r="Q183">
        <f t="shared" si="36"/>
        <v>68.53</v>
      </c>
      <c r="R183">
        <f t="shared" si="37"/>
        <v>47.269999999999996</v>
      </c>
      <c r="S183">
        <f t="shared" si="38"/>
        <v>36.64</v>
      </c>
      <c r="AC183">
        <v>16.3</v>
      </c>
      <c r="AD183">
        <v>20.100000000000001</v>
      </c>
      <c r="AE183">
        <v>28.4</v>
      </c>
    </row>
    <row r="184" spans="1:31" x14ac:dyDescent="0.15">
      <c r="A184">
        <f t="shared" si="39"/>
        <v>15</v>
      </c>
      <c r="B184" s="2">
        <v>2</v>
      </c>
      <c r="C184" s="3">
        <f t="shared" si="34"/>
        <v>15.166666666666666</v>
      </c>
      <c r="E184">
        <v>167.6</v>
      </c>
      <c r="F184">
        <v>6.1</v>
      </c>
      <c r="G184">
        <f t="shared" si="28"/>
        <v>179.79999999999998</v>
      </c>
      <c r="H184">
        <f t="shared" si="29"/>
        <v>173.7</v>
      </c>
      <c r="I184">
        <f t="shared" si="30"/>
        <v>161.5</v>
      </c>
      <c r="J184">
        <f t="shared" si="31"/>
        <v>155.4</v>
      </c>
      <c r="K184">
        <f t="shared" si="32"/>
        <v>152.35</v>
      </c>
      <c r="L184">
        <f t="shared" si="33"/>
        <v>149.30000000000001</v>
      </c>
      <c r="N184">
        <v>58.3</v>
      </c>
      <c r="O184">
        <v>10.67</v>
      </c>
      <c r="P184">
        <f t="shared" si="35"/>
        <v>79.64</v>
      </c>
      <c r="Q184">
        <f t="shared" si="36"/>
        <v>68.97</v>
      </c>
      <c r="R184">
        <f t="shared" si="37"/>
        <v>47.629999999999995</v>
      </c>
      <c r="S184">
        <f t="shared" si="38"/>
        <v>36.959999999999994</v>
      </c>
      <c r="AC184">
        <v>16.3</v>
      </c>
      <c r="AD184">
        <v>20.100000000000001</v>
      </c>
      <c r="AE184">
        <v>28.5</v>
      </c>
    </row>
    <row r="185" spans="1:31" x14ac:dyDescent="0.15">
      <c r="A185">
        <f t="shared" si="39"/>
        <v>15</v>
      </c>
      <c r="B185" s="2">
        <v>3</v>
      </c>
      <c r="C185" s="3">
        <f t="shared" si="34"/>
        <v>15.25</v>
      </c>
      <c r="E185">
        <v>167.8</v>
      </c>
      <c r="F185">
        <v>6</v>
      </c>
      <c r="G185">
        <f t="shared" si="28"/>
        <v>179.8</v>
      </c>
      <c r="H185">
        <f t="shared" si="29"/>
        <v>173.8</v>
      </c>
      <c r="I185">
        <f t="shared" si="30"/>
        <v>161.80000000000001</v>
      </c>
      <c r="J185">
        <f t="shared" si="31"/>
        <v>155.80000000000001</v>
      </c>
      <c r="K185">
        <f t="shared" si="32"/>
        <v>152.80000000000001</v>
      </c>
      <c r="L185">
        <f t="shared" si="33"/>
        <v>149.80000000000001</v>
      </c>
      <c r="N185">
        <v>58.6</v>
      </c>
      <c r="O185">
        <v>10.71</v>
      </c>
      <c r="P185">
        <f t="shared" si="35"/>
        <v>80.02000000000001</v>
      </c>
      <c r="Q185">
        <f t="shared" si="36"/>
        <v>69.31</v>
      </c>
      <c r="R185">
        <f t="shared" si="37"/>
        <v>47.89</v>
      </c>
      <c r="S185">
        <f t="shared" si="38"/>
        <v>37.18</v>
      </c>
      <c r="AC185">
        <v>16.3</v>
      </c>
      <c r="AD185">
        <v>20.2</v>
      </c>
      <c r="AE185">
        <v>28.5</v>
      </c>
    </row>
    <row r="186" spans="1:31" x14ac:dyDescent="0.15">
      <c r="A186">
        <f t="shared" si="39"/>
        <v>15</v>
      </c>
      <c r="B186" s="2">
        <v>4</v>
      </c>
      <c r="C186" s="3">
        <f t="shared" si="34"/>
        <v>15.333333333333334</v>
      </c>
      <c r="E186">
        <v>168.1</v>
      </c>
      <c r="F186">
        <v>6</v>
      </c>
      <c r="G186">
        <f t="shared" si="28"/>
        <v>180.1</v>
      </c>
      <c r="H186">
        <f t="shared" si="29"/>
        <v>174.1</v>
      </c>
      <c r="I186">
        <f t="shared" si="30"/>
        <v>162.1</v>
      </c>
      <c r="J186">
        <f t="shared" si="31"/>
        <v>156.1</v>
      </c>
      <c r="K186">
        <f t="shared" si="32"/>
        <v>153.1</v>
      </c>
      <c r="L186">
        <f t="shared" si="33"/>
        <v>150.1</v>
      </c>
      <c r="N186">
        <v>59</v>
      </c>
      <c r="O186">
        <v>10.75</v>
      </c>
      <c r="P186">
        <f t="shared" si="35"/>
        <v>80.5</v>
      </c>
      <c r="Q186">
        <f t="shared" si="36"/>
        <v>69.75</v>
      </c>
      <c r="R186">
        <f t="shared" si="37"/>
        <v>48.25</v>
      </c>
      <c r="S186">
        <f t="shared" si="38"/>
        <v>37.5</v>
      </c>
      <c r="AC186">
        <v>16.399999999999999</v>
      </c>
      <c r="AD186">
        <v>20.2</v>
      </c>
      <c r="AE186">
        <v>28.6</v>
      </c>
    </row>
    <row r="187" spans="1:31" x14ac:dyDescent="0.15">
      <c r="A187">
        <f t="shared" si="39"/>
        <v>15</v>
      </c>
      <c r="B187" s="2">
        <v>5</v>
      </c>
      <c r="C187" s="3">
        <f t="shared" si="34"/>
        <v>15.416666666666666</v>
      </c>
      <c r="E187">
        <v>168.3</v>
      </c>
      <c r="F187">
        <v>5.9</v>
      </c>
      <c r="G187">
        <f t="shared" si="28"/>
        <v>180.10000000000002</v>
      </c>
      <c r="H187">
        <f t="shared" si="29"/>
        <v>174.20000000000002</v>
      </c>
      <c r="I187">
        <f t="shared" si="30"/>
        <v>162.4</v>
      </c>
      <c r="J187">
        <f t="shared" si="31"/>
        <v>156.5</v>
      </c>
      <c r="K187">
        <f t="shared" si="32"/>
        <v>153.55000000000001</v>
      </c>
      <c r="L187">
        <f t="shared" si="33"/>
        <v>150.60000000000002</v>
      </c>
      <c r="N187">
        <v>59.3</v>
      </c>
      <c r="O187">
        <v>10.79</v>
      </c>
      <c r="P187">
        <f t="shared" si="35"/>
        <v>80.88</v>
      </c>
      <c r="Q187">
        <f t="shared" si="36"/>
        <v>70.09</v>
      </c>
      <c r="R187">
        <f t="shared" si="37"/>
        <v>48.51</v>
      </c>
      <c r="S187">
        <f t="shared" si="38"/>
        <v>37.72</v>
      </c>
      <c r="AC187">
        <v>16.399999999999999</v>
      </c>
      <c r="AD187">
        <v>20.3</v>
      </c>
      <c r="AE187">
        <v>28.6</v>
      </c>
    </row>
    <row r="188" spans="1:31" x14ac:dyDescent="0.15">
      <c r="A188">
        <f t="shared" si="39"/>
        <v>15</v>
      </c>
      <c r="B188" s="2">
        <v>6</v>
      </c>
      <c r="C188" s="3">
        <f t="shared" si="34"/>
        <v>15.5</v>
      </c>
      <c r="E188">
        <v>168.6</v>
      </c>
      <c r="F188">
        <v>5.9</v>
      </c>
      <c r="G188">
        <f t="shared" si="28"/>
        <v>180.4</v>
      </c>
      <c r="H188">
        <f t="shared" si="29"/>
        <v>174.5</v>
      </c>
      <c r="I188">
        <f t="shared" si="30"/>
        <v>162.69999999999999</v>
      </c>
      <c r="J188">
        <f t="shared" si="31"/>
        <v>156.79999999999998</v>
      </c>
      <c r="K188">
        <f t="shared" si="32"/>
        <v>153.85</v>
      </c>
      <c r="L188">
        <f t="shared" si="33"/>
        <v>150.89999999999998</v>
      </c>
      <c r="N188">
        <v>59.7</v>
      </c>
      <c r="O188">
        <v>10.83</v>
      </c>
      <c r="P188">
        <f t="shared" si="35"/>
        <v>81.36</v>
      </c>
      <c r="Q188">
        <f t="shared" si="36"/>
        <v>70.53</v>
      </c>
      <c r="R188">
        <f t="shared" si="37"/>
        <v>48.870000000000005</v>
      </c>
      <c r="S188">
        <f t="shared" si="38"/>
        <v>38.040000000000006</v>
      </c>
      <c r="AC188">
        <v>16.399999999999999</v>
      </c>
      <c r="AD188">
        <v>20.3</v>
      </c>
      <c r="AE188">
        <v>28.6</v>
      </c>
    </row>
    <row r="189" spans="1:31" x14ac:dyDescent="0.15">
      <c r="A189">
        <f t="shared" si="39"/>
        <v>15</v>
      </c>
      <c r="B189" s="2">
        <v>7</v>
      </c>
      <c r="C189" s="3">
        <f t="shared" si="34"/>
        <v>15.583333333333334</v>
      </c>
      <c r="E189">
        <v>168.7</v>
      </c>
      <c r="F189">
        <v>5.9</v>
      </c>
      <c r="G189">
        <f t="shared" si="28"/>
        <v>180.5</v>
      </c>
      <c r="H189">
        <f t="shared" si="29"/>
        <v>174.6</v>
      </c>
      <c r="I189">
        <f t="shared" si="30"/>
        <v>162.79999999999998</v>
      </c>
      <c r="J189">
        <f t="shared" si="31"/>
        <v>156.89999999999998</v>
      </c>
      <c r="K189">
        <f t="shared" si="32"/>
        <v>153.94999999999999</v>
      </c>
      <c r="L189">
        <f t="shared" si="33"/>
        <v>151</v>
      </c>
      <c r="N189">
        <v>59.8</v>
      </c>
      <c r="O189">
        <v>10.77</v>
      </c>
      <c r="P189">
        <f t="shared" si="35"/>
        <v>81.34</v>
      </c>
      <c r="Q189">
        <f t="shared" si="36"/>
        <v>70.569999999999993</v>
      </c>
      <c r="R189">
        <f t="shared" si="37"/>
        <v>49.03</v>
      </c>
      <c r="S189">
        <f t="shared" si="38"/>
        <v>38.26</v>
      </c>
      <c r="AC189">
        <v>16.5</v>
      </c>
      <c r="AD189">
        <v>20.3</v>
      </c>
      <c r="AE189">
        <v>28.7</v>
      </c>
    </row>
    <row r="190" spans="1:31" x14ac:dyDescent="0.15">
      <c r="A190">
        <f t="shared" si="39"/>
        <v>15</v>
      </c>
      <c r="B190" s="2">
        <v>8</v>
      </c>
      <c r="C190" s="3">
        <f t="shared" si="34"/>
        <v>15.666666666666666</v>
      </c>
      <c r="E190">
        <v>168.9</v>
      </c>
      <c r="F190">
        <v>5.9</v>
      </c>
      <c r="G190">
        <f t="shared" si="28"/>
        <v>180.70000000000002</v>
      </c>
      <c r="H190">
        <f t="shared" si="29"/>
        <v>174.8</v>
      </c>
      <c r="I190">
        <f t="shared" si="30"/>
        <v>163</v>
      </c>
      <c r="J190">
        <f t="shared" si="31"/>
        <v>157.1</v>
      </c>
      <c r="K190">
        <f t="shared" si="32"/>
        <v>154.15</v>
      </c>
      <c r="L190">
        <f t="shared" si="33"/>
        <v>151.19999999999999</v>
      </c>
      <c r="N190">
        <v>60</v>
      </c>
      <c r="O190">
        <v>10.71</v>
      </c>
      <c r="P190">
        <f t="shared" si="35"/>
        <v>81.42</v>
      </c>
      <c r="Q190">
        <f t="shared" si="36"/>
        <v>70.710000000000008</v>
      </c>
      <c r="R190">
        <f t="shared" si="37"/>
        <v>49.29</v>
      </c>
      <c r="S190">
        <f t="shared" si="38"/>
        <v>38.58</v>
      </c>
      <c r="AC190">
        <v>16.5</v>
      </c>
      <c r="AD190">
        <v>20.399999999999999</v>
      </c>
      <c r="AE190">
        <v>28.7</v>
      </c>
    </row>
    <row r="191" spans="1:31" x14ac:dyDescent="0.15">
      <c r="A191">
        <f t="shared" si="39"/>
        <v>15</v>
      </c>
      <c r="B191" s="2">
        <v>9</v>
      </c>
      <c r="C191" s="3">
        <f t="shared" si="34"/>
        <v>15.75</v>
      </c>
      <c r="E191">
        <v>169</v>
      </c>
      <c r="F191">
        <v>5.9</v>
      </c>
      <c r="G191">
        <f t="shared" si="28"/>
        <v>180.8</v>
      </c>
      <c r="H191">
        <f t="shared" si="29"/>
        <v>174.9</v>
      </c>
      <c r="I191">
        <f t="shared" si="30"/>
        <v>163.1</v>
      </c>
      <c r="J191">
        <f t="shared" si="31"/>
        <v>157.19999999999999</v>
      </c>
      <c r="K191">
        <f t="shared" si="32"/>
        <v>154.25</v>
      </c>
      <c r="L191">
        <f t="shared" si="33"/>
        <v>151.30000000000001</v>
      </c>
      <c r="N191">
        <v>60.1</v>
      </c>
      <c r="O191">
        <v>10.66</v>
      </c>
      <c r="P191">
        <f t="shared" si="35"/>
        <v>81.42</v>
      </c>
      <c r="Q191">
        <f t="shared" si="36"/>
        <v>70.760000000000005</v>
      </c>
      <c r="R191">
        <f t="shared" si="37"/>
        <v>49.44</v>
      </c>
      <c r="S191">
        <f t="shared" si="38"/>
        <v>38.78</v>
      </c>
      <c r="AC191">
        <v>16.5</v>
      </c>
      <c r="AD191">
        <v>20.399999999999999</v>
      </c>
      <c r="AE191">
        <v>28.7</v>
      </c>
    </row>
    <row r="192" spans="1:31" x14ac:dyDescent="0.15">
      <c r="A192">
        <f t="shared" si="39"/>
        <v>15</v>
      </c>
      <c r="B192" s="2">
        <v>10</v>
      </c>
      <c r="C192" s="3">
        <f t="shared" si="34"/>
        <v>15.833333333333334</v>
      </c>
      <c r="E192">
        <v>169.1</v>
      </c>
      <c r="F192">
        <v>5.9</v>
      </c>
      <c r="G192">
        <f t="shared" si="28"/>
        <v>180.9</v>
      </c>
      <c r="H192">
        <f t="shared" si="29"/>
        <v>175</v>
      </c>
      <c r="I192">
        <f t="shared" si="30"/>
        <v>163.19999999999999</v>
      </c>
      <c r="J192">
        <f t="shared" si="31"/>
        <v>157.29999999999998</v>
      </c>
      <c r="K192">
        <f t="shared" si="32"/>
        <v>154.35</v>
      </c>
      <c r="L192">
        <f t="shared" si="33"/>
        <v>151.39999999999998</v>
      </c>
      <c r="N192">
        <v>60.2</v>
      </c>
      <c r="O192">
        <v>10.6</v>
      </c>
      <c r="P192">
        <f t="shared" si="35"/>
        <v>81.400000000000006</v>
      </c>
      <c r="Q192">
        <f t="shared" si="36"/>
        <v>70.8</v>
      </c>
      <c r="R192">
        <f t="shared" si="37"/>
        <v>49.6</v>
      </c>
      <c r="S192">
        <f t="shared" si="38"/>
        <v>39</v>
      </c>
      <c r="AC192">
        <v>16.600000000000001</v>
      </c>
      <c r="AD192">
        <v>20.5</v>
      </c>
      <c r="AE192">
        <v>28.8</v>
      </c>
    </row>
    <row r="193" spans="1:31" x14ac:dyDescent="0.15">
      <c r="A193">
        <f t="shared" si="39"/>
        <v>15</v>
      </c>
      <c r="B193" s="2">
        <v>11</v>
      </c>
      <c r="C193" s="3">
        <f t="shared" si="34"/>
        <v>15.916666666666666</v>
      </c>
      <c r="E193">
        <v>169.2</v>
      </c>
      <c r="F193">
        <v>5.8</v>
      </c>
      <c r="G193">
        <f t="shared" si="28"/>
        <v>180.79999999999998</v>
      </c>
      <c r="H193">
        <f t="shared" si="29"/>
        <v>175</v>
      </c>
      <c r="I193">
        <f t="shared" si="30"/>
        <v>163.39999999999998</v>
      </c>
      <c r="J193">
        <f t="shared" si="31"/>
        <v>157.6</v>
      </c>
      <c r="K193">
        <f t="shared" si="32"/>
        <v>154.69999999999999</v>
      </c>
      <c r="L193">
        <f t="shared" si="33"/>
        <v>151.79999999999998</v>
      </c>
      <c r="N193">
        <v>60.3</v>
      </c>
      <c r="O193">
        <v>10.54</v>
      </c>
      <c r="P193">
        <f t="shared" si="35"/>
        <v>81.38</v>
      </c>
      <c r="Q193">
        <f t="shared" si="36"/>
        <v>70.84</v>
      </c>
      <c r="R193">
        <f t="shared" si="37"/>
        <v>49.76</v>
      </c>
      <c r="S193">
        <f t="shared" si="38"/>
        <v>39.22</v>
      </c>
      <c r="AC193">
        <v>16.600000000000001</v>
      </c>
      <c r="AD193">
        <v>20.5</v>
      </c>
      <c r="AE193">
        <v>28.8</v>
      </c>
    </row>
    <row r="194" spans="1:31" x14ac:dyDescent="0.15">
      <c r="A194">
        <f t="shared" si="39"/>
        <v>16</v>
      </c>
      <c r="B194" s="2">
        <v>0</v>
      </c>
      <c r="C194" s="3">
        <f t="shared" si="34"/>
        <v>16</v>
      </c>
      <c r="E194">
        <v>169.4</v>
      </c>
      <c r="F194">
        <v>5.8</v>
      </c>
      <c r="G194">
        <f t="shared" ref="G194:G212" si="40">$E194+2*$F194</f>
        <v>181</v>
      </c>
      <c r="H194">
        <f t="shared" ref="H194:H212" si="41">$E194+$F194</f>
        <v>175.20000000000002</v>
      </c>
      <c r="I194">
        <f t="shared" ref="I194:I212" si="42">$E194-$F194</f>
        <v>163.6</v>
      </c>
      <c r="J194">
        <f t="shared" ref="J194:J212" si="43">$E194-2*$F194</f>
        <v>157.80000000000001</v>
      </c>
      <c r="K194">
        <f t="shared" ref="K194:K212" si="44">$E194-2.5*$F194</f>
        <v>154.9</v>
      </c>
      <c r="L194">
        <f t="shared" ref="L194:L212" si="45">$E194-3*$F194</f>
        <v>152</v>
      </c>
      <c r="N194">
        <v>60.5</v>
      </c>
      <c r="O194">
        <v>10.48</v>
      </c>
      <c r="P194">
        <f t="shared" si="35"/>
        <v>81.460000000000008</v>
      </c>
      <c r="Q194">
        <f t="shared" si="36"/>
        <v>70.98</v>
      </c>
      <c r="R194">
        <f t="shared" si="37"/>
        <v>50.019999999999996</v>
      </c>
      <c r="S194">
        <f t="shared" si="38"/>
        <v>39.54</v>
      </c>
      <c r="AC194">
        <v>16.600000000000001</v>
      </c>
      <c r="AD194">
        <v>20.5</v>
      </c>
      <c r="AE194">
        <v>28.8</v>
      </c>
    </row>
    <row r="195" spans="1:31" x14ac:dyDescent="0.15">
      <c r="A195">
        <f t="shared" si="39"/>
        <v>16</v>
      </c>
      <c r="B195" s="2">
        <v>1</v>
      </c>
      <c r="C195" s="3">
        <f t="shared" ref="C195:C212" si="46">A195+B195/12</f>
        <v>16.083333333333332</v>
      </c>
      <c r="E195">
        <v>169.5</v>
      </c>
      <c r="F195">
        <v>5.8</v>
      </c>
      <c r="G195">
        <f t="shared" si="40"/>
        <v>181.1</v>
      </c>
      <c r="H195">
        <f t="shared" si="41"/>
        <v>175.3</v>
      </c>
      <c r="I195">
        <f t="shared" si="42"/>
        <v>163.69999999999999</v>
      </c>
      <c r="J195">
        <f t="shared" si="43"/>
        <v>157.9</v>
      </c>
      <c r="K195">
        <f t="shared" si="44"/>
        <v>155</v>
      </c>
      <c r="L195">
        <f t="shared" si="45"/>
        <v>152.1</v>
      </c>
      <c r="N195">
        <v>60.6</v>
      </c>
      <c r="O195">
        <v>10.42</v>
      </c>
      <c r="P195">
        <f t="shared" ref="P195:P212" si="47">$N195+2*$O195</f>
        <v>81.44</v>
      </c>
      <c r="Q195">
        <f t="shared" ref="Q195:Q212" si="48">$N195+$O195</f>
        <v>71.02</v>
      </c>
      <c r="R195">
        <f t="shared" ref="R195:R212" si="49">$N195-$O195</f>
        <v>50.18</v>
      </c>
      <c r="S195">
        <f t="shared" ref="S195:S212" si="50">$N195-2*$O195</f>
        <v>39.760000000000005</v>
      </c>
      <c r="AC195">
        <v>16.7</v>
      </c>
      <c r="AD195">
        <v>20.6</v>
      </c>
      <c r="AE195">
        <v>28.8</v>
      </c>
    </row>
    <row r="196" spans="1:31" x14ac:dyDescent="0.15">
      <c r="A196">
        <f t="shared" si="39"/>
        <v>16</v>
      </c>
      <c r="B196" s="2">
        <v>2</v>
      </c>
      <c r="C196" s="3">
        <f t="shared" si="46"/>
        <v>16.166666666666668</v>
      </c>
      <c r="E196">
        <v>169.6</v>
      </c>
      <c r="F196">
        <v>5.8</v>
      </c>
      <c r="G196">
        <f t="shared" si="40"/>
        <v>181.2</v>
      </c>
      <c r="H196">
        <f t="shared" si="41"/>
        <v>175.4</v>
      </c>
      <c r="I196">
        <f t="shared" si="42"/>
        <v>163.79999999999998</v>
      </c>
      <c r="J196">
        <f t="shared" si="43"/>
        <v>158</v>
      </c>
      <c r="K196">
        <f t="shared" si="44"/>
        <v>155.1</v>
      </c>
      <c r="L196">
        <f t="shared" si="45"/>
        <v>152.19999999999999</v>
      </c>
      <c r="N196">
        <v>60.7</v>
      </c>
      <c r="O196">
        <v>10.36</v>
      </c>
      <c r="P196">
        <f t="shared" si="47"/>
        <v>81.42</v>
      </c>
      <c r="Q196">
        <f t="shared" si="48"/>
        <v>71.06</v>
      </c>
      <c r="R196">
        <f t="shared" si="49"/>
        <v>50.34</v>
      </c>
      <c r="S196">
        <f t="shared" si="50"/>
        <v>39.980000000000004</v>
      </c>
      <c r="AC196">
        <v>16.7</v>
      </c>
      <c r="AD196">
        <v>20.6</v>
      </c>
      <c r="AE196">
        <v>28.9</v>
      </c>
    </row>
    <row r="197" spans="1:31" x14ac:dyDescent="0.15">
      <c r="A197">
        <f t="shared" si="39"/>
        <v>16</v>
      </c>
      <c r="B197" s="2">
        <v>3</v>
      </c>
      <c r="C197" s="3">
        <f t="shared" si="46"/>
        <v>16.25</v>
      </c>
      <c r="E197">
        <v>169.7</v>
      </c>
      <c r="F197">
        <v>5.8</v>
      </c>
      <c r="G197">
        <f t="shared" si="40"/>
        <v>181.29999999999998</v>
      </c>
      <c r="H197">
        <f t="shared" si="41"/>
        <v>175.5</v>
      </c>
      <c r="I197">
        <f t="shared" si="42"/>
        <v>163.89999999999998</v>
      </c>
      <c r="J197">
        <f t="shared" si="43"/>
        <v>158.1</v>
      </c>
      <c r="K197">
        <f t="shared" si="44"/>
        <v>155.19999999999999</v>
      </c>
      <c r="L197">
        <f t="shared" si="45"/>
        <v>152.29999999999998</v>
      </c>
      <c r="N197">
        <v>60.8</v>
      </c>
      <c r="O197">
        <v>10.31</v>
      </c>
      <c r="P197">
        <f t="shared" si="47"/>
        <v>81.42</v>
      </c>
      <c r="Q197">
        <f t="shared" si="48"/>
        <v>71.11</v>
      </c>
      <c r="R197">
        <f t="shared" si="49"/>
        <v>50.489999999999995</v>
      </c>
      <c r="S197">
        <f t="shared" si="50"/>
        <v>40.179999999999993</v>
      </c>
      <c r="AC197">
        <v>16.7</v>
      </c>
      <c r="AD197">
        <v>20.6</v>
      </c>
      <c r="AE197">
        <v>28.9</v>
      </c>
    </row>
    <row r="198" spans="1:31" x14ac:dyDescent="0.15">
      <c r="A198">
        <f t="shared" si="39"/>
        <v>16</v>
      </c>
      <c r="B198" s="2">
        <v>4</v>
      </c>
      <c r="C198" s="3">
        <f t="shared" si="46"/>
        <v>16.333333333333332</v>
      </c>
      <c r="E198">
        <v>169.9</v>
      </c>
      <c r="F198">
        <v>5.8</v>
      </c>
      <c r="G198">
        <f t="shared" si="40"/>
        <v>181.5</v>
      </c>
      <c r="H198">
        <f t="shared" si="41"/>
        <v>175.70000000000002</v>
      </c>
      <c r="I198">
        <f t="shared" si="42"/>
        <v>164.1</v>
      </c>
      <c r="J198">
        <f t="shared" si="43"/>
        <v>158.30000000000001</v>
      </c>
      <c r="K198">
        <f t="shared" si="44"/>
        <v>155.4</v>
      </c>
      <c r="L198">
        <f t="shared" si="45"/>
        <v>152.5</v>
      </c>
      <c r="N198">
        <v>61</v>
      </c>
      <c r="O198">
        <v>10.25</v>
      </c>
      <c r="P198">
        <f t="shared" si="47"/>
        <v>81.5</v>
      </c>
      <c r="Q198">
        <f t="shared" si="48"/>
        <v>71.25</v>
      </c>
      <c r="R198">
        <f t="shared" si="49"/>
        <v>50.75</v>
      </c>
      <c r="S198">
        <f t="shared" si="50"/>
        <v>40.5</v>
      </c>
      <c r="AC198">
        <v>16.8</v>
      </c>
      <c r="AD198">
        <v>20.7</v>
      </c>
      <c r="AE198">
        <v>28.9</v>
      </c>
    </row>
    <row r="199" spans="1:31" x14ac:dyDescent="0.15">
      <c r="A199">
        <f t="shared" si="39"/>
        <v>16</v>
      </c>
      <c r="B199" s="2">
        <v>5</v>
      </c>
      <c r="C199" s="3">
        <f t="shared" si="46"/>
        <v>16.416666666666668</v>
      </c>
      <c r="E199">
        <v>170</v>
      </c>
      <c r="F199">
        <v>5.8</v>
      </c>
      <c r="G199">
        <f t="shared" si="40"/>
        <v>181.6</v>
      </c>
      <c r="H199">
        <f t="shared" si="41"/>
        <v>175.8</v>
      </c>
      <c r="I199">
        <f t="shared" si="42"/>
        <v>164.2</v>
      </c>
      <c r="J199">
        <f t="shared" si="43"/>
        <v>158.4</v>
      </c>
      <c r="K199">
        <f t="shared" si="44"/>
        <v>155.5</v>
      </c>
      <c r="L199">
        <f t="shared" si="45"/>
        <v>152.6</v>
      </c>
      <c r="N199">
        <v>61.1</v>
      </c>
      <c r="O199">
        <v>10.19</v>
      </c>
      <c r="P199">
        <f t="shared" si="47"/>
        <v>81.48</v>
      </c>
      <c r="Q199">
        <f t="shared" si="48"/>
        <v>71.290000000000006</v>
      </c>
      <c r="R199">
        <f t="shared" si="49"/>
        <v>50.910000000000004</v>
      </c>
      <c r="S199">
        <f t="shared" si="50"/>
        <v>40.72</v>
      </c>
      <c r="AC199">
        <v>16.8</v>
      </c>
      <c r="AD199">
        <v>20.7</v>
      </c>
      <c r="AE199">
        <v>28.9</v>
      </c>
    </row>
    <row r="200" spans="1:31" x14ac:dyDescent="0.15">
      <c r="A200">
        <f t="shared" si="39"/>
        <v>16</v>
      </c>
      <c r="B200" s="2">
        <v>6</v>
      </c>
      <c r="C200" s="3">
        <f t="shared" si="46"/>
        <v>16.5</v>
      </c>
      <c r="E200">
        <v>170.1</v>
      </c>
      <c r="F200">
        <v>5.8</v>
      </c>
      <c r="G200">
        <f t="shared" si="40"/>
        <v>181.7</v>
      </c>
      <c r="H200">
        <f t="shared" si="41"/>
        <v>175.9</v>
      </c>
      <c r="I200">
        <f t="shared" si="42"/>
        <v>164.29999999999998</v>
      </c>
      <c r="J200">
        <f t="shared" si="43"/>
        <v>158.5</v>
      </c>
      <c r="K200">
        <f t="shared" si="44"/>
        <v>155.6</v>
      </c>
      <c r="L200">
        <f t="shared" si="45"/>
        <v>152.69999999999999</v>
      </c>
      <c r="N200">
        <v>61.2</v>
      </c>
      <c r="O200">
        <v>10.130000000000001</v>
      </c>
      <c r="P200">
        <f t="shared" si="47"/>
        <v>81.460000000000008</v>
      </c>
      <c r="Q200">
        <f t="shared" si="48"/>
        <v>71.33</v>
      </c>
      <c r="R200">
        <f t="shared" si="49"/>
        <v>51.07</v>
      </c>
      <c r="S200">
        <f t="shared" si="50"/>
        <v>40.94</v>
      </c>
      <c r="AC200">
        <v>16.8</v>
      </c>
      <c r="AD200">
        <v>20.7</v>
      </c>
      <c r="AE200">
        <v>29</v>
      </c>
    </row>
    <row r="201" spans="1:31" x14ac:dyDescent="0.15">
      <c r="A201">
        <f t="shared" si="39"/>
        <v>16</v>
      </c>
      <c r="B201" s="2">
        <v>7</v>
      </c>
      <c r="C201" s="3">
        <f t="shared" si="46"/>
        <v>16.583333333333332</v>
      </c>
      <c r="E201">
        <v>170.2</v>
      </c>
      <c r="F201">
        <v>5.8</v>
      </c>
      <c r="G201">
        <f t="shared" si="40"/>
        <v>181.79999999999998</v>
      </c>
      <c r="H201">
        <f t="shared" si="41"/>
        <v>176</v>
      </c>
      <c r="I201">
        <f t="shared" si="42"/>
        <v>164.39999999999998</v>
      </c>
      <c r="J201">
        <f t="shared" si="43"/>
        <v>158.6</v>
      </c>
      <c r="K201">
        <f t="shared" si="44"/>
        <v>155.69999999999999</v>
      </c>
      <c r="L201">
        <f t="shared" si="45"/>
        <v>152.79999999999998</v>
      </c>
      <c r="N201">
        <v>61.3</v>
      </c>
      <c r="O201">
        <v>10.15</v>
      </c>
      <c r="P201">
        <f t="shared" si="47"/>
        <v>81.599999999999994</v>
      </c>
      <c r="Q201">
        <f t="shared" si="48"/>
        <v>71.45</v>
      </c>
      <c r="R201">
        <f t="shared" si="49"/>
        <v>51.15</v>
      </c>
      <c r="S201">
        <f t="shared" si="50"/>
        <v>41</v>
      </c>
      <c r="AC201">
        <v>16.899999999999999</v>
      </c>
      <c r="AD201">
        <v>20.8</v>
      </c>
      <c r="AE201">
        <v>29</v>
      </c>
    </row>
    <row r="202" spans="1:31" x14ac:dyDescent="0.15">
      <c r="A202">
        <f t="shared" si="39"/>
        <v>16</v>
      </c>
      <c r="B202" s="2">
        <v>8</v>
      </c>
      <c r="C202" s="3">
        <f t="shared" si="46"/>
        <v>16.666666666666668</v>
      </c>
      <c r="E202">
        <v>170.2</v>
      </c>
      <c r="F202">
        <v>5.8</v>
      </c>
      <c r="G202">
        <f t="shared" si="40"/>
        <v>181.79999999999998</v>
      </c>
      <c r="H202">
        <f t="shared" si="41"/>
        <v>176</v>
      </c>
      <c r="I202">
        <f t="shared" si="42"/>
        <v>164.39999999999998</v>
      </c>
      <c r="J202">
        <f t="shared" si="43"/>
        <v>158.6</v>
      </c>
      <c r="K202">
        <f t="shared" si="44"/>
        <v>155.69999999999999</v>
      </c>
      <c r="L202">
        <f t="shared" si="45"/>
        <v>152.79999999999998</v>
      </c>
      <c r="N202">
        <v>61.4</v>
      </c>
      <c r="O202">
        <v>10.16</v>
      </c>
      <c r="P202">
        <f t="shared" si="47"/>
        <v>81.72</v>
      </c>
      <c r="Q202">
        <f t="shared" si="48"/>
        <v>71.56</v>
      </c>
      <c r="R202">
        <f t="shared" si="49"/>
        <v>51.239999999999995</v>
      </c>
      <c r="S202">
        <f t="shared" si="50"/>
        <v>41.08</v>
      </c>
      <c r="AC202">
        <v>16.899999999999999</v>
      </c>
      <c r="AD202">
        <v>20.8</v>
      </c>
      <c r="AE202">
        <v>29</v>
      </c>
    </row>
    <row r="203" spans="1:31" x14ac:dyDescent="0.15">
      <c r="A203">
        <f t="shared" si="39"/>
        <v>16</v>
      </c>
      <c r="B203" s="2">
        <v>9</v>
      </c>
      <c r="C203" s="3">
        <f t="shared" si="46"/>
        <v>16.75</v>
      </c>
      <c r="E203">
        <v>170.3</v>
      </c>
      <c r="F203">
        <v>5.8</v>
      </c>
      <c r="G203">
        <f t="shared" si="40"/>
        <v>181.9</v>
      </c>
      <c r="H203">
        <f t="shared" si="41"/>
        <v>176.10000000000002</v>
      </c>
      <c r="I203">
        <f t="shared" si="42"/>
        <v>164.5</v>
      </c>
      <c r="J203">
        <f t="shared" si="43"/>
        <v>158.70000000000002</v>
      </c>
      <c r="K203">
        <f t="shared" si="44"/>
        <v>155.80000000000001</v>
      </c>
      <c r="L203">
        <f t="shared" si="45"/>
        <v>152.9</v>
      </c>
      <c r="N203">
        <v>61.6</v>
      </c>
      <c r="O203">
        <v>10.18</v>
      </c>
      <c r="P203">
        <f t="shared" si="47"/>
        <v>81.960000000000008</v>
      </c>
      <c r="Q203">
        <f t="shared" si="48"/>
        <v>71.78</v>
      </c>
      <c r="R203">
        <f t="shared" si="49"/>
        <v>51.42</v>
      </c>
      <c r="S203">
        <f t="shared" si="50"/>
        <v>41.24</v>
      </c>
      <c r="AC203">
        <v>16.899999999999999</v>
      </c>
      <c r="AD203">
        <v>20.8</v>
      </c>
      <c r="AE203">
        <v>29</v>
      </c>
    </row>
    <row r="204" spans="1:31" x14ac:dyDescent="0.15">
      <c r="A204">
        <f t="shared" si="39"/>
        <v>16</v>
      </c>
      <c r="B204" s="2">
        <v>10</v>
      </c>
      <c r="C204" s="3">
        <f t="shared" si="46"/>
        <v>16.833333333333332</v>
      </c>
      <c r="E204">
        <v>170.3</v>
      </c>
      <c r="F204">
        <v>5.8</v>
      </c>
      <c r="G204">
        <f t="shared" si="40"/>
        <v>181.9</v>
      </c>
      <c r="H204">
        <f t="shared" si="41"/>
        <v>176.10000000000002</v>
      </c>
      <c r="I204">
        <f t="shared" si="42"/>
        <v>164.5</v>
      </c>
      <c r="J204">
        <f t="shared" si="43"/>
        <v>158.70000000000002</v>
      </c>
      <c r="K204">
        <f t="shared" si="44"/>
        <v>155.80000000000001</v>
      </c>
      <c r="L204">
        <f t="shared" si="45"/>
        <v>152.9</v>
      </c>
      <c r="N204">
        <v>61.7</v>
      </c>
      <c r="O204">
        <v>10.19</v>
      </c>
      <c r="P204">
        <f t="shared" si="47"/>
        <v>82.08</v>
      </c>
      <c r="Q204">
        <f t="shared" si="48"/>
        <v>71.89</v>
      </c>
      <c r="R204">
        <f t="shared" si="49"/>
        <v>51.510000000000005</v>
      </c>
      <c r="S204">
        <f t="shared" si="50"/>
        <v>41.320000000000007</v>
      </c>
      <c r="AC204">
        <v>16.899999999999999</v>
      </c>
      <c r="AD204">
        <v>20.8</v>
      </c>
      <c r="AE204">
        <v>29</v>
      </c>
    </row>
    <row r="205" spans="1:31" x14ac:dyDescent="0.15">
      <c r="A205">
        <f t="shared" si="39"/>
        <v>16</v>
      </c>
      <c r="B205" s="2">
        <v>11</v>
      </c>
      <c r="C205" s="3">
        <f t="shared" si="46"/>
        <v>16.916666666666668</v>
      </c>
      <c r="E205">
        <v>170.4</v>
      </c>
      <c r="F205">
        <v>5.8</v>
      </c>
      <c r="G205">
        <f t="shared" si="40"/>
        <v>182</v>
      </c>
      <c r="H205">
        <f t="shared" si="41"/>
        <v>176.20000000000002</v>
      </c>
      <c r="I205">
        <f t="shared" si="42"/>
        <v>164.6</v>
      </c>
      <c r="J205">
        <f t="shared" si="43"/>
        <v>158.80000000000001</v>
      </c>
      <c r="K205">
        <f t="shared" si="44"/>
        <v>155.9</v>
      </c>
      <c r="L205">
        <f t="shared" si="45"/>
        <v>153</v>
      </c>
      <c r="N205">
        <v>61.8</v>
      </c>
      <c r="O205">
        <v>10.210000000000001</v>
      </c>
      <c r="P205">
        <f t="shared" si="47"/>
        <v>82.22</v>
      </c>
      <c r="Q205">
        <f t="shared" si="48"/>
        <v>72.009999999999991</v>
      </c>
      <c r="R205">
        <f t="shared" si="49"/>
        <v>51.589999999999996</v>
      </c>
      <c r="S205">
        <f t="shared" si="50"/>
        <v>41.379999999999995</v>
      </c>
      <c r="AC205">
        <v>17</v>
      </c>
      <c r="AD205">
        <v>20.9</v>
      </c>
      <c r="AE205">
        <v>29</v>
      </c>
    </row>
    <row r="206" spans="1:31" x14ac:dyDescent="0.15">
      <c r="A206">
        <f t="shared" si="39"/>
        <v>17</v>
      </c>
      <c r="B206" s="2">
        <v>0</v>
      </c>
      <c r="C206" s="3">
        <f t="shared" si="46"/>
        <v>17</v>
      </c>
      <c r="E206">
        <v>170.5</v>
      </c>
      <c r="F206">
        <v>5.8</v>
      </c>
      <c r="G206">
        <f t="shared" si="40"/>
        <v>182.1</v>
      </c>
      <c r="H206">
        <f t="shared" si="41"/>
        <v>176.3</v>
      </c>
      <c r="I206">
        <f t="shared" si="42"/>
        <v>164.7</v>
      </c>
      <c r="J206">
        <f t="shared" si="43"/>
        <v>158.9</v>
      </c>
      <c r="K206">
        <f t="shared" si="44"/>
        <v>156</v>
      </c>
      <c r="L206">
        <f t="shared" si="45"/>
        <v>153.1</v>
      </c>
      <c r="N206">
        <v>61.9</v>
      </c>
      <c r="O206">
        <v>10.23</v>
      </c>
      <c r="P206">
        <f t="shared" si="47"/>
        <v>82.36</v>
      </c>
      <c r="Q206">
        <f t="shared" si="48"/>
        <v>72.13</v>
      </c>
      <c r="R206">
        <f t="shared" si="49"/>
        <v>51.67</v>
      </c>
      <c r="S206">
        <f t="shared" si="50"/>
        <v>41.44</v>
      </c>
      <c r="AC206">
        <v>17</v>
      </c>
      <c r="AD206">
        <v>20.9</v>
      </c>
      <c r="AE206">
        <v>29.1</v>
      </c>
    </row>
    <row r="207" spans="1:31" x14ac:dyDescent="0.15">
      <c r="A207">
        <f t="shared" si="39"/>
        <v>17</v>
      </c>
      <c r="B207" s="2">
        <v>1</v>
      </c>
      <c r="C207" s="3">
        <f t="shared" si="46"/>
        <v>17.083333333333332</v>
      </c>
      <c r="E207">
        <v>170.5</v>
      </c>
      <c r="F207">
        <v>5.8</v>
      </c>
      <c r="G207">
        <f t="shared" si="40"/>
        <v>182.1</v>
      </c>
      <c r="H207">
        <f t="shared" si="41"/>
        <v>176.3</v>
      </c>
      <c r="I207">
        <f t="shared" si="42"/>
        <v>164.7</v>
      </c>
      <c r="J207">
        <f t="shared" si="43"/>
        <v>158.9</v>
      </c>
      <c r="K207">
        <f t="shared" si="44"/>
        <v>156</v>
      </c>
      <c r="L207">
        <f t="shared" si="45"/>
        <v>153.1</v>
      </c>
      <c r="N207">
        <v>62</v>
      </c>
      <c r="O207">
        <v>10.24</v>
      </c>
      <c r="P207">
        <f t="shared" si="47"/>
        <v>82.48</v>
      </c>
      <c r="Q207">
        <f t="shared" si="48"/>
        <v>72.239999999999995</v>
      </c>
      <c r="R207">
        <f t="shared" si="49"/>
        <v>51.76</v>
      </c>
      <c r="S207">
        <f t="shared" si="50"/>
        <v>41.519999999999996</v>
      </c>
      <c r="AC207">
        <v>17</v>
      </c>
      <c r="AD207">
        <v>20.9</v>
      </c>
      <c r="AE207">
        <v>29.1</v>
      </c>
    </row>
    <row r="208" spans="1:31" x14ac:dyDescent="0.15">
      <c r="A208">
        <f t="shared" si="39"/>
        <v>17</v>
      </c>
      <c r="B208" s="2">
        <v>2</v>
      </c>
      <c r="C208" s="3">
        <f t="shared" si="46"/>
        <v>17.166666666666668</v>
      </c>
      <c r="E208">
        <v>170.6</v>
      </c>
      <c r="F208">
        <v>5.8</v>
      </c>
      <c r="G208">
        <f t="shared" si="40"/>
        <v>182.2</v>
      </c>
      <c r="H208">
        <f t="shared" si="41"/>
        <v>176.4</v>
      </c>
      <c r="I208">
        <f t="shared" si="42"/>
        <v>164.79999999999998</v>
      </c>
      <c r="J208">
        <f t="shared" si="43"/>
        <v>159</v>
      </c>
      <c r="K208">
        <f t="shared" si="44"/>
        <v>156.1</v>
      </c>
      <c r="L208">
        <f t="shared" si="45"/>
        <v>153.19999999999999</v>
      </c>
      <c r="N208">
        <v>62.1</v>
      </c>
      <c r="O208">
        <v>10.26</v>
      </c>
      <c r="P208">
        <f t="shared" si="47"/>
        <v>82.62</v>
      </c>
      <c r="Q208">
        <f t="shared" si="48"/>
        <v>72.36</v>
      </c>
      <c r="R208">
        <f t="shared" si="49"/>
        <v>51.84</v>
      </c>
      <c r="S208">
        <f t="shared" si="50"/>
        <v>41.58</v>
      </c>
      <c r="AC208">
        <v>17</v>
      </c>
      <c r="AD208">
        <v>20.9</v>
      </c>
      <c r="AE208">
        <v>29.1</v>
      </c>
    </row>
    <row r="209" spans="1:31" x14ac:dyDescent="0.15">
      <c r="A209">
        <f t="shared" si="39"/>
        <v>17</v>
      </c>
      <c r="B209" s="2">
        <v>3</v>
      </c>
      <c r="C209" s="3">
        <f t="shared" si="46"/>
        <v>17.25</v>
      </c>
      <c r="E209">
        <v>170.6</v>
      </c>
      <c r="F209">
        <v>5.8</v>
      </c>
      <c r="G209">
        <f t="shared" si="40"/>
        <v>182.2</v>
      </c>
      <c r="H209">
        <f t="shared" si="41"/>
        <v>176.4</v>
      </c>
      <c r="I209">
        <f t="shared" si="42"/>
        <v>164.79999999999998</v>
      </c>
      <c r="J209">
        <f t="shared" si="43"/>
        <v>159</v>
      </c>
      <c r="K209">
        <f t="shared" si="44"/>
        <v>156.1</v>
      </c>
      <c r="L209">
        <f t="shared" si="45"/>
        <v>153.19999999999999</v>
      </c>
      <c r="N209">
        <v>62.3</v>
      </c>
      <c r="O209">
        <v>10.27</v>
      </c>
      <c r="P209">
        <f t="shared" si="47"/>
        <v>82.84</v>
      </c>
      <c r="Q209">
        <f t="shared" si="48"/>
        <v>72.569999999999993</v>
      </c>
      <c r="R209">
        <f t="shared" si="49"/>
        <v>52.03</v>
      </c>
      <c r="S209">
        <f t="shared" si="50"/>
        <v>41.76</v>
      </c>
      <c r="AC209">
        <v>17</v>
      </c>
      <c r="AD209">
        <v>20.9</v>
      </c>
      <c r="AE209">
        <v>29.1</v>
      </c>
    </row>
    <row r="210" spans="1:31" x14ac:dyDescent="0.15">
      <c r="A210">
        <f t="shared" si="39"/>
        <v>17</v>
      </c>
      <c r="B210" s="2">
        <v>4</v>
      </c>
      <c r="C210" s="3">
        <f t="shared" si="46"/>
        <v>17.333333333333332</v>
      </c>
      <c r="E210">
        <v>170.7</v>
      </c>
      <c r="F210">
        <v>5.8</v>
      </c>
      <c r="G210">
        <f t="shared" si="40"/>
        <v>182.29999999999998</v>
      </c>
      <c r="H210">
        <f t="shared" si="41"/>
        <v>176.5</v>
      </c>
      <c r="I210">
        <f t="shared" si="42"/>
        <v>164.89999999999998</v>
      </c>
      <c r="J210">
        <f t="shared" si="43"/>
        <v>159.1</v>
      </c>
      <c r="K210">
        <f t="shared" si="44"/>
        <v>156.19999999999999</v>
      </c>
      <c r="L210">
        <f t="shared" si="45"/>
        <v>153.29999999999998</v>
      </c>
      <c r="N210">
        <v>62.4</v>
      </c>
      <c r="O210">
        <v>10.29</v>
      </c>
      <c r="P210">
        <f t="shared" si="47"/>
        <v>82.97999999999999</v>
      </c>
      <c r="Q210">
        <f t="shared" si="48"/>
        <v>72.69</v>
      </c>
      <c r="R210">
        <f t="shared" si="49"/>
        <v>52.11</v>
      </c>
      <c r="S210">
        <f t="shared" si="50"/>
        <v>41.82</v>
      </c>
      <c r="AC210">
        <v>17.100000000000001</v>
      </c>
      <c r="AD210">
        <v>21</v>
      </c>
      <c r="AE210">
        <v>29.1</v>
      </c>
    </row>
    <row r="211" spans="1:31" x14ac:dyDescent="0.15">
      <c r="A211">
        <f t="shared" si="39"/>
        <v>17</v>
      </c>
      <c r="B211" s="2">
        <v>5</v>
      </c>
      <c r="C211" s="3">
        <f t="shared" si="46"/>
        <v>17.416666666666668</v>
      </c>
      <c r="E211">
        <v>170.7</v>
      </c>
      <c r="F211">
        <v>5.8</v>
      </c>
      <c r="G211">
        <f t="shared" si="40"/>
        <v>182.29999999999998</v>
      </c>
      <c r="H211">
        <f t="shared" si="41"/>
        <v>176.5</v>
      </c>
      <c r="I211">
        <f t="shared" si="42"/>
        <v>164.89999999999998</v>
      </c>
      <c r="J211">
        <f t="shared" si="43"/>
        <v>159.1</v>
      </c>
      <c r="K211">
        <f t="shared" si="44"/>
        <v>156.19999999999999</v>
      </c>
      <c r="L211">
        <f t="shared" si="45"/>
        <v>153.29999999999998</v>
      </c>
      <c r="N211">
        <v>62.5</v>
      </c>
      <c r="O211">
        <v>10.3</v>
      </c>
      <c r="P211">
        <f t="shared" si="47"/>
        <v>83.1</v>
      </c>
      <c r="Q211">
        <f t="shared" si="48"/>
        <v>72.8</v>
      </c>
      <c r="R211">
        <f t="shared" si="49"/>
        <v>52.2</v>
      </c>
      <c r="S211">
        <f t="shared" si="50"/>
        <v>41.9</v>
      </c>
      <c r="AC211">
        <v>17.100000000000001</v>
      </c>
      <c r="AD211">
        <v>21</v>
      </c>
      <c r="AE211">
        <v>29.1</v>
      </c>
    </row>
    <row r="212" spans="1:31" x14ac:dyDescent="0.15">
      <c r="A212">
        <f t="shared" si="39"/>
        <v>17</v>
      </c>
      <c r="B212" s="2">
        <v>6</v>
      </c>
      <c r="C212" s="3">
        <f t="shared" si="46"/>
        <v>17.5</v>
      </c>
      <c r="E212">
        <v>170.8</v>
      </c>
      <c r="F212">
        <v>5.8</v>
      </c>
      <c r="G212">
        <f t="shared" si="40"/>
        <v>182.4</v>
      </c>
      <c r="H212">
        <f t="shared" si="41"/>
        <v>176.60000000000002</v>
      </c>
      <c r="I212">
        <f t="shared" si="42"/>
        <v>165</v>
      </c>
      <c r="J212">
        <f t="shared" si="43"/>
        <v>159.20000000000002</v>
      </c>
      <c r="K212">
        <f t="shared" si="44"/>
        <v>156.30000000000001</v>
      </c>
      <c r="L212">
        <f t="shared" si="45"/>
        <v>153.4</v>
      </c>
      <c r="N212">
        <v>62.6</v>
      </c>
      <c r="O212">
        <v>10.32</v>
      </c>
      <c r="P212">
        <f t="shared" si="47"/>
        <v>83.240000000000009</v>
      </c>
      <c r="Q212">
        <f t="shared" si="48"/>
        <v>72.92</v>
      </c>
      <c r="R212">
        <f t="shared" si="49"/>
        <v>52.28</v>
      </c>
      <c r="S212">
        <f t="shared" si="50"/>
        <v>41.96</v>
      </c>
      <c r="AC212">
        <v>17.100000000000001</v>
      </c>
      <c r="AD212">
        <v>21</v>
      </c>
      <c r="AE212">
        <v>29.1</v>
      </c>
    </row>
    <row r="214" spans="1:31" x14ac:dyDescent="0.15">
      <c r="A214">
        <v>11</v>
      </c>
      <c r="B214" s="2">
        <v>2</v>
      </c>
      <c r="S214" s="1" t="s">
        <v>3</v>
      </c>
      <c r="T214" s="1"/>
      <c r="U214">
        <f>A214+B214/12</f>
        <v>11.166666666666666</v>
      </c>
      <c r="V214" s="3">
        <v>10.6</v>
      </c>
      <c r="W214">
        <v>1.2</v>
      </c>
      <c r="X214">
        <f>$V214+2*$W214</f>
        <v>13</v>
      </c>
      <c r="Y214">
        <f>$V214+$W214</f>
        <v>11.799999999999999</v>
      </c>
      <c r="Z214">
        <f>$V214-$W214</f>
        <v>9.4</v>
      </c>
      <c r="AA214">
        <f>$V214-2*$W214</f>
        <v>8.1999999999999993</v>
      </c>
    </row>
    <row r="215" spans="1:31" x14ac:dyDescent="0.15">
      <c r="A215">
        <v>12</v>
      </c>
      <c r="B215" s="2">
        <v>1</v>
      </c>
      <c r="S215" s="1" t="s">
        <v>171</v>
      </c>
      <c r="T215" s="1"/>
      <c r="U215">
        <f>A215+B215/12</f>
        <v>12.083333333333334</v>
      </c>
      <c r="V215" s="3">
        <v>10.6</v>
      </c>
      <c r="W215">
        <v>1.5</v>
      </c>
      <c r="X215">
        <f>$V215+2*$W215</f>
        <v>13.6</v>
      </c>
      <c r="Y215">
        <f>$V215+$W215</f>
        <v>12.1</v>
      </c>
      <c r="Z215">
        <f>$V215-$W215</f>
        <v>9.1</v>
      </c>
      <c r="AA215">
        <f>$V215-2*$W215</f>
        <v>7.6</v>
      </c>
    </row>
    <row r="216" spans="1:31" x14ac:dyDescent="0.15">
      <c r="A216">
        <v>13</v>
      </c>
      <c r="B216" s="2">
        <v>0</v>
      </c>
      <c r="S216" t="s">
        <v>172</v>
      </c>
      <c r="U216">
        <f>A216+B216/12</f>
        <v>13</v>
      </c>
      <c r="V216" s="3">
        <v>9.9</v>
      </c>
      <c r="W216">
        <v>1.5</v>
      </c>
      <c r="X216">
        <f>$V216+2*$W216</f>
        <v>12.9</v>
      </c>
      <c r="Y216">
        <f>$V216+$W216</f>
        <v>11.4</v>
      </c>
      <c r="Z216">
        <f>$V216-$W216</f>
        <v>8.4</v>
      </c>
      <c r="AA216">
        <f>$V216-2*$W216</f>
        <v>6.9</v>
      </c>
    </row>
    <row r="217" spans="1:31" x14ac:dyDescent="0.15">
      <c r="A217">
        <v>13</v>
      </c>
      <c r="B217" s="2">
        <v>11</v>
      </c>
      <c r="S217" s="1" t="s">
        <v>0</v>
      </c>
      <c r="T217" s="1"/>
      <c r="U217">
        <f>A217+B217/12</f>
        <v>13.916666666666666</v>
      </c>
      <c r="V217" s="3">
        <v>9.5</v>
      </c>
      <c r="W217">
        <v>1.1000000000000001</v>
      </c>
      <c r="X217">
        <f>$V217+2*$W217</f>
        <v>11.7</v>
      </c>
      <c r="Y217">
        <f>$V217+$W217</f>
        <v>10.6</v>
      </c>
      <c r="Z217">
        <f>$V217-$W217</f>
        <v>8.4</v>
      </c>
      <c r="AA217">
        <f>$V217-2*$W217</f>
        <v>7.3</v>
      </c>
    </row>
    <row r="218" spans="1:31" x14ac:dyDescent="0.15">
      <c r="A218">
        <v>14</v>
      </c>
      <c r="B218" s="2">
        <v>10</v>
      </c>
      <c r="S218" s="1" t="s">
        <v>2</v>
      </c>
      <c r="T218" s="1"/>
      <c r="U218">
        <f>A218+B218/12</f>
        <v>14.833333333333334</v>
      </c>
      <c r="V218" s="3">
        <v>8.9</v>
      </c>
      <c r="W218">
        <v>1.2</v>
      </c>
      <c r="X218">
        <f>$V218+2*$W218</f>
        <v>11.3</v>
      </c>
      <c r="Y218">
        <f>$V218+$W218</f>
        <v>10.1</v>
      </c>
      <c r="Z218">
        <f>$V218-$W218</f>
        <v>7.7</v>
      </c>
      <c r="AA218">
        <f>$V218-2*$W218</f>
        <v>6.5</v>
      </c>
    </row>
  </sheetData>
  <sheetProtection sheet="1" objects="1" scenarios="1"/>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8"/>
  <sheetViews>
    <sheetView workbookViewId="0">
      <pane xSplit="2" ySplit="1" topLeftCell="C2" activePane="bottomRight" state="frozen"/>
      <selection pane="topRight" activeCell="C1" sqref="C1"/>
      <selection pane="bottomLeft" activeCell="A2" sqref="A2"/>
      <selection pane="bottomRight" activeCell="V46" sqref="V46"/>
    </sheetView>
  </sheetViews>
  <sheetFormatPr baseColWidth="12" defaultColWidth="8.83203125" defaultRowHeight="14" x14ac:dyDescent="0.15"/>
  <cols>
    <col min="1" max="1" width="5.83203125" customWidth="1"/>
    <col min="2" max="2" width="5.33203125" style="2" customWidth="1"/>
    <col min="3" max="4" width="7.6640625" style="3" customWidth="1"/>
    <col min="5" max="5" width="6" customWidth="1"/>
    <col min="6" max="21" width="5.1640625" customWidth="1"/>
    <col min="22" max="23" width="4.6640625" customWidth="1"/>
    <col min="24" max="24" width="5.1640625" customWidth="1"/>
    <col min="25" max="25" width="5" customWidth="1"/>
    <col min="26" max="26" width="5.5" customWidth="1"/>
    <col min="27" max="27" width="5.1640625" customWidth="1"/>
    <col min="28" max="28" width="4.1640625" customWidth="1"/>
    <col min="29" max="31" width="6.6640625" customWidth="1"/>
  </cols>
  <sheetData>
    <row r="1" spans="1:31" x14ac:dyDescent="0.15">
      <c r="A1" t="s">
        <v>165</v>
      </c>
      <c r="B1" s="2" t="s">
        <v>168</v>
      </c>
      <c r="E1" t="s">
        <v>164</v>
      </c>
      <c r="F1" t="s">
        <v>160</v>
      </c>
      <c r="G1" s="1" t="s">
        <v>2</v>
      </c>
      <c r="H1" s="1" t="s">
        <v>161</v>
      </c>
      <c r="I1" s="1" t="s">
        <v>162</v>
      </c>
      <c r="J1" s="1" t="s">
        <v>3</v>
      </c>
      <c r="K1" s="1" t="s">
        <v>159</v>
      </c>
      <c r="L1" s="1" t="s">
        <v>163</v>
      </c>
      <c r="M1" s="1"/>
      <c r="N1" t="s">
        <v>4</v>
      </c>
      <c r="O1" t="s">
        <v>160</v>
      </c>
      <c r="P1" s="1" t="s">
        <v>2</v>
      </c>
      <c r="Q1" s="1" t="s">
        <v>161</v>
      </c>
      <c r="R1" s="1" t="s">
        <v>162</v>
      </c>
      <c r="S1" s="1" t="s">
        <v>3</v>
      </c>
      <c r="T1" s="1"/>
      <c r="U1" s="2" t="s">
        <v>165</v>
      </c>
      <c r="V1" t="s">
        <v>166</v>
      </c>
      <c r="X1" s="1" t="s">
        <v>2</v>
      </c>
      <c r="Y1" s="1" t="s">
        <v>161</v>
      </c>
      <c r="Z1" s="1" t="s">
        <v>162</v>
      </c>
      <c r="AA1" s="1" t="s">
        <v>3</v>
      </c>
      <c r="AB1" t="s">
        <v>169</v>
      </c>
      <c r="AC1">
        <v>3</v>
      </c>
      <c r="AD1">
        <v>50</v>
      </c>
      <c r="AE1">
        <v>97</v>
      </c>
    </row>
    <row r="2" spans="1:31" x14ac:dyDescent="0.15">
      <c r="A2">
        <v>0</v>
      </c>
      <c r="B2" s="2">
        <v>0</v>
      </c>
      <c r="C2" s="3">
        <f t="shared" ref="C2:C65" si="0">A2+B2/12</f>
        <v>0</v>
      </c>
      <c r="E2">
        <v>48.4</v>
      </c>
      <c r="F2">
        <v>2.1</v>
      </c>
      <c r="G2">
        <f t="shared" ref="G2:G65" si="1">$E2+2*$F2</f>
        <v>52.6</v>
      </c>
      <c r="H2">
        <f t="shared" ref="H2:H65" si="2">$E2+$F2</f>
        <v>50.5</v>
      </c>
      <c r="I2">
        <f t="shared" ref="I2:I65" si="3">$E2-$F2</f>
        <v>46.3</v>
      </c>
      <c r="J2">
        <f t="shared" ref="J2:J65" si="4">$E2-2*$F2</f>
        <v>44.199999999999996</v>
      </c>
      <c r="K2">
        <f t="shared" ref="K2:K65" si="5">$E2-2.5*$F2</f>
        <v>43.15</v>
      </c>
      <c r="L2">
        <f t="shared" ref="L2:L65" si="6">$E2-3*$F2</f>
        <v>42.099999999999994</v>
      </c>
      <c r="N2">
        <v>3</v>
      </c>
      <c r="O2">
        <v>0.4</v>
      </c>
      <c r="P2">
        <f t="shared" ref="P2:P65" si="7">$N2+2*$O2</f>
        <v>3.8</v>
      </c>
      <c r="Q2">
        <f t="shared" ref="Q2:Q65" si="8">$N2+$O2</f>
        <v>3.4</v>
      </c>
      <c r="R2">
        <f t="shared" ref="R2:R65" si="9">$N2-$O2</f>
        <v>2.6</v>
      </c>
      <c r="S2">
        <f t="shared" ref="S2:S65" si="10">$N2-2*$O2</f>
        <v>2.2000000000000002</v>
      </c>
      <c r="U2">
        <v>0</v>
      </c>
      <c r="AC2">
        <v>10.5</v>
      </c>
      <c r="AD2">
        <v>12.6</v>
      </c>
      <c r="AE2">
        <v>14.7</v>
      </c>
    </row>
    <row r="3" spans="1:31" x14ac:dyDescent="0.15">
      <c r="A3">
        <v>0</v>
      </c>
      <c r="B3" s="2">
        <v>1</v>
      </c>
      <c r="C3" s="3">
        <f t="shared" si="0"/>
        <v>8.3333333333333329E-2</v>
      </c>
      <c r="E3">
        <v>52.6</v>
      </c>
      <c r="F3">
        <v>2.1</v>
      </c>
      <c r="G3">
        <f t="shared" si="1"/>
        <v>56.800000000000004</v>
      </c>
      <c r="H3">
        <f t="shared" si="2"/>
        <v>54.7</v>
      </c>
      <c r="I3">
        <f t="shared" si="3"/>
        <v>50.5</v>
      </c>
      <c r="J3">
        <f t="shared" si="4"/>
        <v>48.4</v>
      </c>
      <c r="K3">
        <f t="shared" si="5"/>
        <v>47.35</v>
      </c>
      <c r="L3">
        <f t="shared" si="6"/>
        <v>46.3</v>
      </c>
      <c r="N3">
        <v>4.0999999999999996</v>
      </c>
      <c r="O3">
        <v>0.51</v>
      </c>
      <c r="P3">
        <f t="shared" si="7"/>
        <v>5.1199999999999992</v>
      </c>
      <c r="Q3">
        <f t="shared" si="8"/>
        <v>4.6099999999999994</v>
      </c>
      <c r="R3">
        <f t="shared" si="9"/>
        <v>3.59</v>
      </c>
      <c r="S3">
        <f t="shared" si="10"/>
        <v>3.0799999999999996</v>
      </c>
      <c r="U3">
        <v>0.25</v>
      </c>
      <c r="AC3">
        <v>12</v>
      </c>
      <c r="AD3">
        <v>14.4</v>
      </c>
      <c r="AE3">
        <v>16.8</v>
      </c>
    </row>
    <row r="4" spans="1:31" x14ac:dyDescent="0.15">
      <c r="A4">
        <v>0</v>
      </c>
      <c r="B4" s="2">
        <v>2</v>
      </c>
      <c r="C4" s="3">
        <f t="shared" si="0"/>
        <v>0.16666666666666666</v>
      </c>
      <c r="E4">
        <v>56.7</v>
      </c>
      <c r="F4">
        <v>2.2000000000000002</v>
      </c>
      <c r="G4">
        <f t="shared" si="1"/>
        <v>61.1</v>
      </c>
      <c r="H4">
        <f t="shared" si="2"/>
        <v>58.900000000000006</v>
      </c>
      <c r="I4">
        <f t="shared" si="3"/>
        <v>54.5</v>
      </c>
      <c r="J4">
        <f t="shared" si="4"/>
        <v>52.300000000000004</v>
      </c>
      <c r="K4">
        <f t="shared" si="5"/>
        <v>51.2</v>
      </c>
      <c r="L4">
        <f t="shared" si="6"/>
        <v>50.1</v>
      </c>
      <c r="N4">
        <v>5.2</v>
      </c>
      <c r="O4">
        <v>0.6</v>
      </c>
      <c r="P4">
        <f t="shared" si="7"/>
        <v>6.4</v>
      </c>
      <c r="Q4">
        <f t="shared" si="8"/>
        <v>5.8</v>
      </c>
      <c r="R4">
        <f t="shared" si="9"/>
        <v>4.6000000000000005</v>
      </c>
      <c r="S4">
        <f t="shared" si="10"/>
        <v>4</v>
      </c>
      <c r="U4">
        <v>0.5</v>
      </c>
      <c r="V4">
        <v>25</v>
      </c>
      <c r="AC4">
        <v>13.1</v>
      </c>
      <c r="AD4">
        <v>15.6</v>
      </c>
      <c r="AE4">
        <v>18.2</v>
      </c>
    </row>
    <row r="5" spans="1:31" x14ac:dyDescent="0.15">
      <c r="A5">
        <v>0</v>
      </c>
      <c r="B5" s="2">
        <v>3</v>
      </c>
      <c r="C5" s="3">
        <f t="shared" si="0"/>
        <v>0.25</v>
      </c>
      <c r="E5">
        <v>60</v>
      </c>
      <c r="F5">
        <v>2.2000000000000002</v>
      </c>
      <c r="G5">
        <f t="shared" si="1"/>
        <v>64.400000000000006</v>
      </c>
      <c r="H5">
        <f t="shared" si="2"/>
        <v>62.2</v>
      </c>
      <c r="I5">
        <f t="shared" si="3"/>
        <v>57.8</v>
      </c>
      <c r="J5">
        <f t="shared" si="4"/>
        <v>55.6</v>
      </c>
      <c r="K5">
        <f t="shared" si="5"/>
        <v>54.5</v>
      </c>
      <c r="L5">
        <f t="shared" si="6"/>
        <v>53.4</v>
      </c>
      <c r="N5">
        <v>6</v>
      </c>
      <c r="O5">
        <v>0.66</v>
      </c>
      <c r="P5">
        <f t="shared" si="7"/>
        <v>7.32</v>
      </c>
      <c r="Q5">
        <f t="shared" si="8"/>
        <v>6.66</v>
      </c>
      <c r="R5">
        <f t="shared" si="9"/>
        <v>5.34</v>
      </c>
      <c r="S5">
        <f t="shared" si="10"/>
        <v>4.68</v>
      </c>
      <c r="U5">
        <v>0.75</v>
      </c>
      <c r="V5">
        <v>17.8</v>
      </c>
      <c r="AC5">
        <v>13.7</v>
      </c>
      <c r="AD5">
        <v>16.3</v>
      </c>
      <c r="AE5">
        <v>19</v>
      </c>
    </row>
    <row r="6" spans="1:31" x14ac:dyDescent="0.15">
      <c r="A6">
        <v>0</v>
      </c>
      <c r="B6" s="2">
        <v>4</v>
      </c>
      <c r="C6" s="3">
        <f t="shared" si="0"/>
        <v>0.33333333333333331</v>
      </c>
      <c r="E6">
        <v>62.6</v>
      </c>
      <c r="F6">
        <v>2.2000000000000002</v>
      </c>
      <c r="G6">
        <f t="shared" si="1"/>
        <v>67</v>
      </c>
      <c r="H6">
        <f t="shared" si="2"/>
        <v>64.8</v>
      </c>
      <c r="I6">
        <f t="shared" si="3"/>
        <v>60.4</v>
      </c>
      <c r="J6">
        <f t="shared" si="4"/>
        <v>58.2</v>
      </c>
      <c r="K6">
        <f t="shared" si="5"/>
        <v>57.1</v>
      </c>
      <c r="L6">
        <f t="shared" si="6"/>
        <v>56</v>
      </c>
      <c r="N6">
        <v>6.6</v>
      </c>
      <c r="O6">
        <v>0.75</v>
      </c>
      <c r="P6">
        <f t="shared" si="7"/>
        <v>8.1</v>
      </c>
      <c r="Q6">
        <f t="shared" si="8"/>
        <v>7.35</v>
      </c>
      <c r="R6">
        <f t="shared" si="9"/>
        <v>5.85</v>
      </c>
      <c r="S6">
        <f t="shared" si="10"/>
        <v>5.0999999999999996</v>
      </c>
      <c r="U6">
        <v>1</v>
      </c>
      <c r="V6">
        <v>13.4</v>
      </c>
      <c r="W6">
        <v>1.4</v>
      </c>
      <c r="X6">
        <f t="shared" ref="X6:X37" si="11">$V6+2*$W6</f>
        <v>16.2</v>
      </c>
      <c r="Y6">
        <f t="shared" ref="Y6:Y37" si="12">$V6+$W6</f>
        <v>14.8</v>
      </c>
      <c r="Z6">
        <f t="shared" ref="Z6:Z37" si="13">$V6-$W6</f>
        <v>12</v>
      </c>
      <c r="AA6">
        <f t="shared" ref="AA6:AA37" si="14">$V6-2*$W6</f>
        <v>10.600000000000001</v>
      </c>
      <c r="AC6">
        <v>14.1</v>
      </c>
      <c r="AD6">
        <v>16.7</v>
      </c>
      <c r="AE6">
        <v>19.5</v>
      </c>
    </row>
    <row r="7" spans="1:31" x14ac:dyDescent="0.15">
      <c r="A7">
        <v>0</v>
      </c>
      <c r="B7" s="2">
        <v>5</v>
      </c>
      <c r="C7" s="3">
        <f t="shared" si="0"/>
        <v>0.41666666666666669</v>
      </c>
      <c r="E7">
        <v>64.599999999999994</v>
      </c>
      <c r="F7">
        <v>2.2999999999999998</v>
      </c>
      <c r="G7">
        <f t="shared" si="1"/>
        <v>69.199999999999989</v>
      </c>
      <c r="H7">
        <f t="shared" si="2"/>
        <v>66.899999999999991</v>
      </c>
      <c r="I7">
        <f t="shared" si="3"/>
        <v>62.3</v>
      </c>
      <c r="J7">
        <f t="shared" si="4"/>
        <v>59.999999999999993</v>
      </c>
      <c r="K7">
        <f t="shared" si="5"/>
        <v>58.849999999999994</v>
      </c>
      <c r="L7">
        <f t="shared" si="6"/>
        <v>57.699999999999996</v>
      </c>
      <c r="N7">
        <v>7</v>
      </c>
      <c r="O7">
        <v>0.83</v>
      </c>
      <c r="P7">
        <f t="shared" si="7"/>
        <v>8.66</v>
      </c>
      <c r="Q7">
        <f t="shared" si="8"/>
        <v>7.83</v>
      </c>
      <c r="R7">
        <f t="shared" si="9"/>
        <v>6.17</v>
      </c>
      <c r="S7">
        <f t="shared" si="10"/>
        <v>5.34</v>
      </c>
      <c r="U7">
        <v>1.25</v>
      </c>
      <c r="V7">
        <v>11.6</v>
      </c>
      <c r="W7">
        <v>1.1000000000000001</v>
      </c>
      <c r="X7">
        <f t="shared" si="11"/>
        <v>13.8</v>
      </c>
      <c r="Y7">
        <f t="shared" si="12"/>
        <v>12.7</v>
      </c>
      <c r="Z7">
        <f t="shared" si="13"/>
        <v>10.5</v>
      </c>
      <c r="AA7">
        <f t="shared" si="14"/>
        <v>9.3999999999999986</v>
      </c>
      <c r="AC7">
        <v>14.4</v>
      </c>
      <c r="AD7">
        <v>17</v>
      </c>
      <c r="AE7">
        <v>19.8</v>
      </c>
    </row>
    <row r="8" spans="1:31" x14ac:dyDescent="0.15">
      <c r="A8">
        <v>0</v>
      </c>
      <c r="B8" s="2">
        <v>6</v>
      </c>
      <c r="C8" s="3">
        <f t="shared" si="0"/>
        <v>0.5</v>
      </c>
      <c r="E8">
        <v>66.2</v>
      </c>
      <c r="F8">
        <v>2.2999999999999998</v>
      </c>
      <c r="G8">
        <f t="shared" si="1"/>
        <v>70.8</v>
      </c>
      <c r="H8">
        <f t="shared" si="2"/>
        <v>68.5</v>
      </c>
      <c r="I8">
        <f t="shared" si="3"/>
        <v>63.900000000000006</v>
      </c>
      <c r="J8">
        <f t="shared" si="4"/>
        <v>61.6</v>
      </c>
      <c r="K8">
        <f t="shared" si="5"/>
        <v>60.45</v>
      </c>
      <c r="L8">
        <f t="shared" si="6"/>
        <v>59.300000000000004</v>
      </c>
      <c r="N8">
        <v>7.5</v>
      </c>
      <c r="O8">
        <v>0.79</v>
      </c>
      <c r="P8">
        <f t="shared" si="7"/>
        <v>9.08</v>
      </c>
      <c r="Q8">
        <f t="shared" si="8"/>
        <v>8.2899999999999991</v>
      </c>
      <c r="R8">
        <f t="shared" si="9"/>
        <v>6.71</v>
      </c>
      <c r="S8">
        <f t="shared" si="10"/>
        <v>5.92</v>
      </c>
      <c r="U8">
        <v>1.5</v>
      </c>
      <c r="V8">
        <v>10.3</v>
      </c>
      <c r="W8">
        <v>1</v>
      </c>
      <c r="X8">
        <f t="shared" si="11"/>
        <v>12.3</v>
      </c>
      <c r="Y8">
        <f t="shared" si="12"/>
        <v>11.3</v>
      </c>
      <c r="Z8">
        <f t="shared" si="13"/>
        <v>9.3000000000000007</v>
      </c>
      <c r="AA8">
        <f t="shared" si="14"/>
        <v>8.3000000000000007</v>
      </c>
      <c r="AC8">
        <v>14.4</v>
      </c>
      <c r="AD8">
        <v>17</v>
      </c>
      <c r="AE8">
        <v>19.8</v>
      </c>
    </row>
    <row r="9" spans="1:31" x14ac:dyDescent="0.15">
      <c r="A9">
        <v>0</v>
      </c>
      <c r="B9" s="2">
        <v>7</v>
      </c>
      <c r="C9" s="3">
        <f t="shared" si="0"/>
        <v>0.58333333333333337</v>
      </c>
      <c r="E9">
        <v>67.5</v>
      </c>
      <c r="F9">
        <v>2.2999999999999998</v>
      </c>
      <c r="G9">
        <f t="shared" si="1"/>
        <v>72.099999999999994</v>
      </c>
      <c r="H9">
        <f t="shared" si="2"/>
        <v>69.8</v>
      </c>
      <c r="I9">
        <f t="shared" si="3"/>
        <v>65.2</v>
      </c>
      <c r="J9">
        <f t="shared" si="4"/>
        <v>62.9</v>
      </c>
      <c r="K9">
        <f t="shared" si="5"/>
        <v>61.75</v>
      </c>
      <c r="L9">
        <f t="shared" si="6"/>
        <v>60.6</v>
      </c>
      <c r="N9">
        <v>7.8</v>
      </c>
      <c r="O9">
        <v>0.8</v>
      </c>
      <c r="P9">
        <f t="shared" si="7"/>
        <v>9.4</v>
      </c>
      <c r="Q9">
        <f t="shared" si="8"/>
        <v>8.6</v>
      </c>
      <c r="R9">
        <f t="shared" si="9"/>
        <v>7</v>
      </c>
      <c r="S9">
        <f t="shared" si="10"/>
        <v>6.1999999999999993</v>
      </c>
      <c r="U9">
        <v>1.75</v>
      </c>
      <c r="V9">
        <v>9.4</v>
      </c>
      <c r="W9">
        <v>0.9</v>
      </c>
      <c r="X9">
        <f t="shared" si="11"/>
        <v>11.200000000000001</v>
      </c>
      <c r="Y9">
        <f t="shared" si="12"/>
        <v>10.3</v>
      </c>
      <c r="Z9">
        <f t="shared" si="13"/>
        <v>8.5</v>
      </c>
      <c r="AA9">
        <f t="shared" si="14"/>
        <v>7.6000000000000005</v>
      </c>
      <c r="AC9">
        <v>14.4</v>
      </c>
      <c r="AD9">
        <v>17</v>
      </c>
      <c r="AE9">
        <v>19.8</v>
      </c>
    </row>
    <row r="10" spans="1:31" x14ac:dyDescent="0.15">
      <c r="A10">
        <v>0</v>
      </c>
      <c r="B10" s="2">
        <v>8</v>
      </c>
      <c r="C10" s="3">
        <f t="shared" si="0"/>
        <v>0.66666666666666663</v>
      </c>
      <c r="E10">
        <v>68.900000000000006</v>
      </c>
      <c r="F10">
        <v>2.4</v>
      </c>
      <c r="G10">
        <f t="shared" si="1"/>
        <v>73.7</v>
      </c>
      <c r="H10">
        <f t="shared" si="2"/>
        <v>71.300000000000011</v>
      </c>
      <c r="I10">
        <f t="shared" si="3"/>
        <v>66.5</v>
      </c>
      <c r="J10">
        <f t="shared" si="4"/>
        <v>64.100000000000009</v>
      </c>
      <c r="K10">
        <f t="shared" si="5"/>
        <v>62.900000000000006</v>
      </c>
      <c r="L10">
        <f t="shared" si="6"/>
        <v>61.7</v>
      </c>
      <c r="N10">
        <v>8</v>
      </c>
      <c r="O10">
        <v>0.88</v>
      </c>
      <c r="P10">
        <f t="shared" si="7"/>
        <v>9.76</v>
      </c>
      <c r="Q10">
        <f t="shared" si="8"/>
        <v>8.8800000000000008</v>
      </c>
      <c r="R10">
        <f t="shared" si="9"/>
        <v>7.12</v>
      </c>
      <c r="S10">
        <f t="shared" si="10"/>
        <v>6.24</v>
      </c>
      <c r="U10">
        <v>2</v>
      </c>
      <c r="V10">
        <v>8.8000000000000007</v>
      </c>
      <c r="W10">
        <v>0.8</v>
      </c>
      <c r="X10">
        <f t="shared" si="11"/>
        <v>10.4</v>
      </c>
      <c r="Y10">
        <f t="shared" si="12"/>
        <v>9.6000000000000014</v>
      </c>
      <c r="Z10">
        <f t="shared" si="13"/>
        <v>8</v>
      </c>
      <c r="AA10">
        <f t="shared" si="14"/>
        <v>7.2000000000000011</v>
      </c>
      <c r="AC10">
        <v>14.3</v>
      </c>
      <c r="AD10">
        <v>16.899999999999999</v>
      </c>
      <c r="AE10">
        <v>19.600000000000001</v>
      </c>
    </row>
    <row r="11" spans="1:31" x14ac:dyDescent="0.15">
      <c r="A11">
        <v>0</v>
      </c>
      <c r="B11" s="2">
        <v>9</v>
      </c>
      <c r="C11" s="3">
        <f t="shared" si="0"/>
        <v>0.75</v>
      </c>
      <c r="E11">
        <v>70</v>
      </c>
      <c r="F11">
        <v>2.4</v>
      </c>
      <c r="G11">
        <f t="shared" si="1"/>
        <v>74.8</v>
      </c>
      <c r="H11">
        <f t="shared" si="2"/>
        <v>72.400000000000006</v>
      </c>
      <c r="I11">
        <f t="shared" si="3"/>
        <v>67.599999999999994</v>
      </c>
      <c r="J11">
        <f t="shared" si="4"/>
        <v>65.2</v>
      </c>
      <c r="K11">
        <f t="shared" si="5"/>
        <v>64</v>
      </c>
      <c r="L11">
        <f t="shared" si="6"/>
        <v>62.8</v>
      </c>
      <c r="N11">
        <v>8.1999999999999993</v>
      </c>
      <c r="O11">
        <v>0.9</v>
      </c>
      <c r="P11">
        <f t="shared" si="7"/>
        <v>10</v>
      </c>
      <c r="Q11">
        <f t="shared" si="8"/>
        <v>9.1</v>
      </c>
      <c r="R11">
        <f t="shared" si="9"/>
        <v>7.2999999999999989</v>
      </c>
      <c r="S11">
        <f t="shared" si="10"/>
        <v>6.3999999999999995</v>
      </c>
      <c r="U11">
        <v>2.25</v>
      </c>
      <c r="V11">
        <v>8.4</v>
      </c>
      <c r="W11">
        <v>0.8</v>
      </c>
      <c r="X11">
        <f t="shared" si="11"/>
        <v>10</v>
      </c>
      <c r="Y11">
        <f t="shared" si="12"/>
        <v>9.2000000000000011</v>
      </c>
      <c r="Z11">
        <f t="shared" si="13"/>
        <v>7.6000000000000005</v>
      </c>
      <c r="AA11">
        <f t="shared" si="14"/>
        <v>6.8000000000000007</v>
      </c>
      <c r="AC11">
        <v>14.2</v>
      </c>
      <c r="AD11">
        <v>16.7</v>
      </c>
      <c r="AE11">
        <v>19.399999999999999</v>
      </c>
    </row>
    <row r="12" spans="1:31" x14ac:dyDescent="0.15">
      <c r="A12">
        <v>0</v>
      </c>
      <c r="B12" s="2">
        <v>10</v>
      </c>
      <c r="C12" s="3">
        <f t="shared" si="0"/>
        <v>0.83333333333333337</v>
      </c>
      <c r="E12">
        <v>71.2</v>
      </c>
      <c r="F12">
        <v>2.4</v>
      </c>
      <c r="G12">
        <f t="shared" si="1"/>
        <v>76</v>
      </c>
      <c r="H12">
        <f t="shared" si="2"/>
        <v>73.600000000000009</v>
      </c>
      <c r="I12">
        <f t="shared" si="3"/>
        <v>68.8</v>
      </c>
      <c r="J12">
        <f t="shared" si="4"/>
        <v>66.400000000000006</v>
      </c>
      <c r="K12">
        <f t="shared" si="5"/>
        <v>65.2</v>
      </c>
      <c r="L12">
        <f t="shared" si="6"/>
        <v>64</v>
      </c>
      <c r="N12">
        <v>8.5</v>
      </c>
      <c r="O12">
        <v>0.87</v>
      </c>
      <c r="P12">
        <f t="shared" si="7"/>
        <v>10.24</v>
      </c>
      <c r="Q12">
        <f t="shared" si="8"/>
        <v>9.3699999999999992</v>
      </c>
      <c r="R12">
        <f t="shared" si="9"/>
        <v>7.63</v>
      </c>
      <c r="S12">
        <f t="shared" si="10"/>
        <v>6.76</v>
      </c>
      <c r="U12">
        <v>2.5</v>
      </c>
      <c r="V12">
        <v>8</v>
      </c>
      <c r="W12">
        <v>0.8</v>
      </c>
      <c r="X12">
        <f t="shared" si="11"/>
        <v>9.6</v>
      </c>
      <c r="Y12">
        <f t="shared" si="12"/>
        <v>8.8000000000000007</v>
      </c>
      <c r="Z12">
        <f t="shared" si="13"/>
        <v>7.2</v>
      </c>
      <c r="AA12">
        <f t="shared" si="14"/>
        <v>6.4</v>
      </c>
      <c r="AC12">
        <v>14.1</v>
      </c>
      <c r="AD12">
        <v>16.5</v>
      </c>
      <c r="AE12">
        <v>19.2</v>
      </c>
    </row>
    <row r="13" spans="1:31" x14ac:dyDescent="0.15">
      <c r="A13">
        <v>0</v>
      </c>
      <c r="B13" s="2">
        <v>11</v>
      </c>
      <c r="C13" s="3">
        <f t="shared" si="0"/>
        <v>0.91666666666666663</v>
      </c>
      <c r="E13">
        <v>72.3</v>
      </c>
      <c r="F13">
        <v>2.5</v>
      </c>
      <c r="G13">
        <f t="shared" si="1"/>
        <v>77.3</v>
      </c>
      <c r="H13">
        <f t="shared" si="2"/>
        <v>74.8</v>
      </c>
      <c r="I13">
        <f t="shared" si="3"/>
        <v>69.8</v>
      </c>
      <c r="J13">
        <f t="shared" si="4"/>
        <v>67.3</v>
      </c>
      <c r="K13">
        <f t="shared" si="5"/>
        <v>66.05</v>
      </c>
      <c r="L13">
        <f t="shared" si="6"/>
        <v>64.8</v>
      </c>
      <c r="N13">
        <v>8.6</v>
      </c>
      <c r="O13">
        <v>0.91</v>
      </c>
      <c r="P13">
        <f t="shared" si="7"/>
        <v>10.42</v>
      </c>
      <c r="Q13">
        <f t="shared" si="8"/>
        <v>9.51</v>
      </c>
      <c r="R13">
        <f t="shared" si="9"/>
        <v>7.6899999999999995</v>
      </c>
      <c r="S13">
        <f t="shared" si="10"/>
        <v>6.7799999999999994</v>
      </c>
      <c r="U13">
        <v>2.75</v>
      </c>
      <c r="V13">
        <v>7.7</v>
      </c>
      <c r="W13">
        <v>0.8</v>
      </c>
      <c r="X13">
        <f t="shared" si="11"/>
        <v>9.3000000000000007</v>
      </c>
      <c r="Y13">
        <f t="shared" si="12"/>
        <v>8.5</v>
      </c>
      <c r="Z13">
        <f t="shared" si="13"/>
        <v>6.9</v>
      </c>
      <c r="AA13">
        <f t="shared" si="14"/>
        <v>6.1</v>
      </c>
      <c r="AC13">
        <v>14</v>
      </c>
      <c r="AD13">
        <v>16.399999999999999</v>
      </c>
      <c r="AE13">
        <v>19</v>
      </c>
    </row>
    <row r="14" spans="1:31" x14ac:dyDescent="0.15">
      <c r="A14">
        <v>1</v>
      </c>
      <c r="B14" s="2">
        <v>0</v>
      </c>
      <c r="C14" s="3">
        <f t="shared" si="0"/>
        <v>1</v>
      </c>
      <c r="E14">
        <v>73.400000000000006</v>
      </c>
      <c r="F14">
        <v>2.5</v>
      </c>
      <c r="G14">
        <f t="shared" si="1"/>
        <v>78.400000000000006</v>
      </c>
      <c r="H14">
        <f t="shared" si="2"/>
        <v>75.900000000000006</v>
      </c>
      <c r="I14">
        <f t="shared" si="3"/>
        <v>70.900000000000006</v>
      </c>
      <c r="J14">
        <f t="shared" si="4"/>
        <v>68.400000000000006</v>
      </c>
      <c r="K14">
        <f t="shared" si="5"/>
        <v>67.150000000000006</v>
      </c>
      <c r="L14">
        <f t="shared" si="6"/>
        <v>65.900000000000006</v>
      </c>
      <c r="N14">
        <v>8.6999999999999993</v>
      </c>
      <c r="O14">
        <v>0.96</v>
      </c>
      <c r="P14">
        <f t="shared" si="7"/>
        <v>10.62</v>
      </c>
      <c r="Q14">
        <f t="shared" si="8"/>
        <v>9.66</v>
      </c>
      <c r="R14">
        <f t="shared" si="9"/>
        <v>7.7399999999999993</v>
      </c>
      <c r="S14">
        <f t="shared" si="10"/>
        <v>6.7799999999999994</v>
      </c>
      <c r="U14">
        <v>3</v>
      </c>
      <c r="V14">
        <v>7.4</v>
      </c>
      <c r="W14">
        <v>0.8</v>
      </c>
      <c r="X14">
        <f t="shared" si="11"/>
        <v>9</v>
      </c>
      <c r="Y14">
        <f t="shared" si="12"/>
        <v>8.2000000000000011</v>
      </c>
      <c r="Z14">
        <f t="shared" si="13"/>
        <v>6.6000000000000005</v>
      </c>
      <c r="AA14">
        <f t="shared" si="14"/>
        <v>5.8000000000000007</v>
      </c>
      <c r="AC14">
        <v>13.9</v>
      </c>
      <c r="AD14">
        <v>16.2</v>
      </c>
      <c r="AE14">
        <v>18.8</v>
      </c>
    </row>
    <row r="15" spans="1:31" x14ac:dyDescent="0.15">
      <c r="A15">
        <v>1</v>
      </c>
      <c r="B15" s="2">
        <v>1</v>
      </c>
      <c r="C15" s="3">
        <f t="shared" si="0"/>
        <v>1.0833333333333333</v>
      </c>
      <c r="E15">
        <v>74.5</v>
      </c>
      <c r="F15">
        <v>2.5</v>
      </c>
      <c r="G15">
        <f t="shared" si="1"/>
        <v>79.5</v>
      </c>
      <c r="H15">
        <f t="shared" si="2"/>
        <v>77</v>
      </c>
      <c r="I15">
        <f t="shared" si="3"/>
        <v>72</v>
      </c>
      <c r="J15">
        <f t="shared" si="4"/>
        <v>69.5</v>
      </c>
      <c r="K15">
        <f t="shared" si="5"/>
        <v>68.25</v>
      </c>
      <c r="L15">
        <f t="shared" si="6"/>
        <v>67</v>
      </c>
      <c r="N15">
        <v>9</v>
      </c>
      <c r="O15">
        <v>0.9</v>
      </c>
      <c r="P15">
        <f t="shared" si="7"/>
        <v>10.8</v>
      </c>
      <c r="Q15">
        <f t="shared" si="8"/>
        <v>9.9</v>
      </c>
      <c r="R15">
        <f t="shared" si="9"/>
        <v>8.1</v>
      </c>
      <c r="S15">
        <f t="shared" si="10"/>
        <v>7.2</v>
      </c>
      <c r="U15">
        <v>3.25</v>
      </c>
      <c r="V15">
        <v>7.2</v>
      </c>
      <c r="W15">
        <v>0.8</v>
      </c>
      <c r="X15">
        <f t="shared" si="11"/>
        <v>8.8000000000000007</v>
      </c>
      <c r="Y15">
        <f t="shared" si="12"/>
        <v>8</v>
      </c>
      <c r="Z15">
        <f t="shared" si="13"/>
        <v>6.4</v>
      </c>
      <c r="AA15">
        <f t="shared" si="14"/>
        <v>5.6</v>
      </c>
      <c r="AC15">
        <v>13.8</v>
      </c>
      <c r="AD15">
        <v>16.100000000000001</v>
      </c>
      <c r="AE15">
        <v>18.7</v>
      </c>
    </row>
    <row r="16" spans="1:31" x14ac:dyDescent="0.15">
      <c r="A16">
        <v>1</v>
      </c>
      <c r="B16" s="2">
        <v>2</v>
      </c>
      <c r="C16" s="3">
        <f t="shared" si="0"/>
        <v>1.1666666666666667</v>
      </c>
      <c r="E16">
        <v>75.5</v>
      </c>
      <c r="F16">
        <v>2.6</v>
      </c>
      <c r="G16">
        <f t="shared" si="1"/>
        <v>80.7</v>
      </c>
      <c r="H16">
        <f t="shared" si="2"/>
        <v>78.099999999999994</v>
      </c>
      <c r="I16">
        <f t="shared" si="3"/>
        <v>72.900000000000006</v>
      </c>
      <c r="J16">
        <f t="shared" si="4"/>
        <v>70.3</v>
      </c>
      <c r="K16">
        <f t="shared" si="5"/>
        <v>69</v>
      </c>
      <c r="L16">
        <f t="shared" si="6"/>
        <v>67.7</v>
      </c>
      <c r="N16">
        <v>9.1999999999999993</v>
      </c>
      <c r="O16">
        <v>0.94</v>
      </c>
      <c r="P16">
        <f t="shared" si="7"/>
        <v>11.079999999999998</v>
      </c>
      <c r="Q16">
        <f t="shared" si="8"/>
        <v>10.139999999999999</v>
      </c>
      <c r="R16">
        <f t="shared" si="9"/>
        <v>8.26</v>
      </c>
      <c r="S16">
        <f t="shared" si="10"/>
        <v>7.3199999999999994</v>
      </c>
      <c r="U16">
        <v>3.5</v>
      </c>
      <c r="V16">
        <v>7.1</v>
      </c>
      <c r="W16">
        <v>0.8</v>
      </c>
      <c r="X16">
        <f t="shared" si="11"/>
        <v>8.6999999999999993</v>
      </c>
      <c r="Y16">
        <f t="shared" si="12"/>
        <v>7.8999999999999995</v>
      </c>
      <c r="Z16">
        <f t="shared" si="13"/>
        <v>6.3</v>
      </c>
      <c r="AA16">
        <f t="shared" si="14"/>
        <v>5.5</v>
      </c>
      <c r="AC16">
        <v>13.7</v>
      </c>
      <c r="AD16">
        <v>16</v>
      </c>
      <c r="AE16">
        <v>18.5</v>
      </c>
    </row>
    <row r="17" spans="1:31" x14ac:dyDescent="0.15">
      <c r="A17">
        <v>1</v>
      </c>
      <c r="B17" s="2">
        <v>3</v>
      </c>
      <c r="C17" s="3">
        <f t="shared" si="0"/>
        <v>1.25</v>
      </c>
      <c r="E17">
        <v>76.5</v>
      </c>
      <c r="F17">
        <v>2.6</v>
      </c>
      <c r="G17">
        <f t="shared" si="1"/>
        <v>81.7</v>
      </c>
      <c r="H17">
        <f t="shared" si="2"/>
        <v>79.099999999999994</v>
      </c>
      <c r="I17">
        <f t="shared" si="3"/>
        <v>73.900000000000006</v>
      </c>
      <c r="J17">
        <f t="shared" si="4"/>
        <v>71.3</v>
      </c>
      <c r="K17">
        <f t="shared" si="5"/>
        <v>70</v>
      </c>
      <c r="L17">
        <f t="shared" si="6"/>
        <v>68.7</v>
      </c>
      <c r="N17">
        <v>9.3000000000000007</v>
      </c>
      <c r="O17">
        <v>0.96</v>
      </c>
      <c r="P17">
        <f t="shared" si="7"/>
        <v>11.22</v>
      </c>
      <c r="Q17">
        <f t="shared" si="8"/>
        <v>10.260000000000002</v>
      </c>
      <c r="R17">
        <f t="shared" si="9"/>
        <v>8.34</v>
      </c>
      <c r="S17">
        <f t="shared" si="10"/>
        <v>7.3800000000000008</v>
      </c>
      <c r="U17">
        <v>3.75</v>
      </c>
      <c r="V17">
        <v>7</v>
      </c>
      <c r="W17">
        <v>0.7</v>
      </c>
      <c r="X17">
        <f t="shared" si="11"/>
        <v>8.4</v>
      </c>
      <c r="Y17">
        <f t="shared" si="12"/>
        <v>7.7</v>
      </c>
      <c r="Z17">
        <f t="shared" si="13"/>
        <v>6.3</v>
      </c>
      <c r="AA17">
        <f t="shared" si="14"/>
        <v>5.6</v>
      </c>
      <c r="AC17">
        <v>13.6</v>
      </c>
      <c r="AD17">
        <v>15.9</v>
      </c>
      <c r="AE17">
        <v>18.399999999999999</v>
      </c>
    </row>
    <row r="18" spans="1:31" x14ac:dyDescent="0.15">
      <c r="A18">
        <v>1</v>
      </c>
      <c r="B18" s="2">
        <v>4</v>
      </c>
      <c r="C18" s="3">
        <f t="shared" si="0"/>
        <v>1.3333333333333333</v>
      </c>
      <c r="E18">
        <v>77.5</v>
      </c>
      <c r="F18">
        <v>2.6</v>
      </c>
      <c r="G18">
        <f t="shared" si="1"/>
        <v>82.7</v>
      </c>
      <c r="H18">
        <f t="shared" si="2"/>
        <v>80.099999999999994</v>
      </c>
      <c r="I18">
        <f t="shared" si="3"/>
        <v>74.900000000000006</v>
      </c>
      <c r="J18">
        <f t="shared" si="4"/>
        <v>72.3</v>
      </c>
      <c r="K18">
        <f t="shared" si="5"/>
        <v>71</v>
      </c>
      <c r="L18">
        <f t="shared" si="6"/>
        <v>69.7</v>
      </c>
      <c r="N18">
        <v>9.5</v>
      </c>
      <c r="O18">
        <v>0.93</v>
      </c>
      <c r="P18">
        <f t="shared" si="7"/>
        <v>11.36</v>
      </c>
      <c r="Q18">
        <f t="shared" si="8"/>
        <v>10.43</v>
      </c>
      <c r="R18">
        <f t="shared" si="9"/>
        <v>8.57</v>
      </c>
      <c r="S18">
        <f t="shared" si="10"/>
        <v>7.64</v>
      </c>
      <c r="U18">
        <v>4</v>
      </c>
      <c r="V18">
        <v>6.9</v>
      </c>
      <c r="W18">
        <v>0.7</v>
      </c>
      <c r="X18">
        <f t="shared" si="11"/>
        <v>8.3000000000000007</v>
      </c>
      <c r="Y18">
        <f t="shared" si="12"/>
        <v>7.6000000000000005</v>
      </c>
      <c r="Z18">
        <f t="shared" si="13"/>
        <v>6.2</v>
      </c>
      <c r="AA18">
        <f t="shared" si="14"/>
        <v>5.5</v>
      </c>
      <c r="AC18">
        <v>13.5</v>
      </c>
      <c r="AD18">
        <v>15.8</v>
      </c>
      <c r="AE18">
        <v>18.3</v>
      </c>
    </row>
    <row r="19" spans="1:31" x14ac:dyDescent="0.15">
      <c r="A19">
        <v>1</v>
      </c>
      <c r="B19" s="2">
        <v>5</v>
      </c>
      <c r="C19" s="3">
        <f t="shared" si="0"/>
        <v>1.4166666666666667</v>
      </c>
      <c r="E19">
        <v>78.400000000000006</v>
      </c>
      <c r="F19">
        <v>2.7</v>
      </c>
      <c r="G19">
        <f t="shared" si="1"/>
        <v>83.800000000000011</v>
      </c>
      <c r="H19">
        <f t="shared" si="2"/>
        <v>81.100000000000009</v>
      </c>
      <c r="I19">
        <f t="shared" si="3"/>
        <v>75.7</v>
      </c>
      <c r="J19">
        <f t="shared" si="4"/>
        <v>73</v>
      </c>
      <c r="K19">
        <f t="shared" si="5"/>
        <v>71.650000000000006</v>
      </c>
      <c r="L19">
        <f t="shared" si="6"/>
        <v>70.300000000000011</v>
      </c>
      <c r="N19">
        <v>9.6999999999999993</v>
      </c>
      <c r="O19">
        <v>0.99</v>
      </c>
      <c r="P19">
        <f t="shared" si="7"/>
        <v>11.68</v>
      </c>
      <c r="Q19">
        <f t="shared" si="8"/>
        <v>10.69</v>
      </c>
      <c r="R19">
        <f t="shared" si="9"/>
        <v>8.7099999999999991</v>
      </c>
      <c r="S19">
        <f t="shared" si="10"/>
        <v>7.7199999999999989</v>
      </c>
      <c r="U19">
        <v>4.25</v>
      </c>
      <c r="V19">
        <v>6.8</v>
      </c>
      <c r="W19">
        <v>0.7</v>
      </c>
      <c r="X19">
        <f t="shared" si="11"/>
        <v>8.1999999999999993</v>
      </c>
      <c r="Y19">
        <f t="shared" si="12"/>
        <v>7.5</v>
      </c>
      <c r="Z19">
        <f t="shared" si="13"/>
        <v>6.1</v>
      </c>
      <c r="AA19">
        <f t="shared" si="14"/>
        <v>5.4</v>
      </c>
      <c r="AC19">
        <v>13.5</v>
      </c>
      <c r="AD19">
        <v>15.7</v>
      </c>
      <c r="AE19">
        <v>18.2</v>
      </c>
    </row>
    <row r="20" spans="1:31" x14ac:dyDescent="0.15">
      <c r="A20">
        <v>1</v>
      </c>
      <c r="B20" s="2">
        <v>6</v>
      </c>
      <c r="C20" s="3">
        <f t="shared" si="0"/>
        <v>1.5</v>
      </c>
      <c r="E20">
        <v>79.400000000000006</v>
      </c>
      <c r="F20">
        <v>2.7</v>
      </c>
      <c r="G20">
        <f t="shared" si="1"/>
        <v>84.800000000000011</v>
      </c>
      <c r="H20">
        <f t="shared" si="2"/>
        <v>82.100000000000009</v>
      </c>
      <c r="I20">
        <f t="shared" si="3"/>
        <v>76.7</v>
      </c>
      <c r="J20">
        <f t="shared" si="4"/>
        <v>74</v>
      </c>
      <c r="K20">
        <f t="shared" si="5"/>
        <v>72.650000000000006</v>
      </c>
      <c r="L20">
        <f t="shared" si="6"/>
        <v>71.300000000000011</v>
      </c>
      <c r="N20">
        <v>9.9</v>
      </c>
      <c r="O20">
        <v>1.03</v>
      </c>
      <c r="P20">
        <f t="shared" si="7"/>
        <v>11.96</v>
      </c>
      <c r="Q20">
        <f t="shared" si="8"/>
        <v>10.93</v>
      </c>
      <c r="R20">
        <f t="shared" si="9"/>
        <v>8.870000000000001</v>
      </c>
      <c r="S20">
        <f t="shared" si="10"/>
        <v>7.84</v>
      </c>
      <c r="U20">
        <v>4.5</v>
      </c>
      <c r="V20">
        <v>6.7</v>
      </c>
      <c r="W20">
        <v>0.7</v>
      </c>
      <c r="X20">
        <f t="shared" si="11"/>
        <v>8.1</v>
      </c>
      <c r="Y20">
        <f t="shared" si="12"/>
        <v>7.4</v>
      </c>
      <c r="Z20">
        <f t="shared" si="13"/>
        <v>6</v>
      </c>
      <c r="AA20">
        <f t="shared" si="14"/>
        <v>5.3000000000000007</v>
      </c>
      <c r="AC20">
        <v>13.5</v>
      </c>
      <c r="AD20">
        <v>15.7</v>
      </c>
      <c r="AE20">
        <v>18.2</v>
      </c>
    </row>
    <row r="21" spans="1:31" x14ac:dyDescent="0.15">
      <c r="A21">
        <v>1</v>
      </c>
      <c r="B21" s="2">
        <v>7</v>
      </c>
      <c r="C21" s="3">
        <f t="shared" si="0"/>
        <v>1.5833333333333335</v>
      </c>
      <c r="E21">
        <v>80.3</v>
      </c>
      <c r="F21">
        <v>2.8</v>
      </c>
      <c r="G21">
        <f t="shared" si="1"/>
        <v>85.899999999999991</v>
      </c>
      <c r="H21">
        <f t="shared" si="2"/>
        <v>83.1</v>
      </c>
      <c r="I21">
        <f t="shared" si="3"/>
        <v>77.5</v>
      </c>
      <c r="J21">
        <f t="shared" si="4"/>
        <v>74.7</v>
      </c>
      <c r="K21">
        <f t="shared" si="5"/>
        <v>73.3</v>
      </c>
      <c r="L21">
        <f t="shared" si="6"/>
        <v>71.900000000000006</v>
      </c>
      <c r="N21">
        <v>10.199999999999999</v>
      </c>
      <c r="O21">
        <v>1.07</v>
      </c>
      <c r="P21">
        <f t="shared" si="7"/>
        <v>12.34</v>
      </c>
      <c r="Q21">
        <f t="shared" si="8"/>
        <v>11.27</v>
      </c>
      <c r="R21">
        <f t="shared" si="9"/>
        <v>9.129999999999999</v>
      </c>
      <c r="S21">
        <f t="shared" si="10"/>
        <v>8.0599999999999987</v>
      </c>
      <c r="U21">
        <v>4.75</v>
      </c>
      <c r="V21">
        <v>6.6</v>
      </c>
      <c r="W21">
        <v>0.7</v>
      </c>
      <c r="X21">
        <f t="shared" si="11"/>
        <v>8</v>
      </c>
      <c r="Y21">
        <f t="shared" si="12"/>
        <v>7.3</v>
      </c>
      <c r="Z21">
        <f t="shared" si="13"/>
        <v>5.8999999999999995</v>
      </c>
      <c r="AA21">
        <f t="shared" si="14"/>
        <v>5.1999999999999993</v>
      </c>
      <c r="AC21">
        <v>13.4</v>
      </c>
      <c r="AD21">
        <v>15.6</v>
      </c>
      <c r="AE21">
        <v>18.100000000000001</v>
      </c>
    </row>
    <row r="22" spans="1:31" x14ac:dyDescent="0.15">
      <c r="A22">
        <v>1</v>
      </c>
      <c r="B22" s="2">
        <v>8</v>
      </c>
      <c r="C22" s="3">
        <f t="shared" si="0"/>
        <v>1.6666666666666665</v>
      </c>
      <c r="E22">
        <v>81.2</v>
      </c>
      <c r="F22">
        <v>2.8</v>
      </c>
      <c r="G22">
        <f t="shared" si="1"/>
        <v>86.8</v>
      </c>
      <c r="H22">
        <f t="shared" si="2"/>
        <v>84</v>
      </c>
      <c r="I22">
        <f t="shared" si="3"/>
        <v>78.400000000000006</v>
      </c>
      <c r="J22">
        <f t="shared" si="4"/>
        <v>75.600000000000009</v>
      </c>
      <c r="K22">
        <f t="shared" si="5"/>
        <v>74.2</v>
      </c>
      <c r="L22">
        <f t="shared" si="6"/>
        <v>72.800000000000011</v>
      </c>
      <c r="N22">
        <v>10.4</v>
      </c>
      <c r="O22">
        <v>1.08</v>
      </c>
      <c r="P22">
        <f t="shared" si="7"/>
        <v>12.56</v>
      </c>
      <c r="Q22">
        <f t="shared" si="8"/>
        <v>11.48</v>
      </c>
      <c r="R22">
        <f t="shared" si="9"/>
        <v>9.32</v>
      </c>
      <c r="S22">
        <f t="shared" si="10"/>
        <v>8.24</v>
      </c>
      <c r="U22">
        <v>5</v>
      </c>
      <c r="V22">
        <v>6.5</v>
      </c>
      <c r="W22">
        <v>0.7</v>
      </c>
      <c r="X22">
        <f t="shared" si="11"/>
        <v>7.9</v>
      </c>
      <c r="Y22">
        <f t="shared" si="12"/>
        <v>7.2</v>
      </c>
      <c r="Z22">
        <f t="shared" si="13"/>
        <v>5.8</v>
      </c>
      <c r="AA22">
        <f t="shared" si="14"/>
        <v>5.0999999999999996</v>
      </c>
      <c r="AC22">
        <v>13.4</v>
      </c>
      <c r="AD22">
        <v>15.6</v>
      </c>
      <c r="AE22">
        <v>18.100000000000001</v>
      </c>
    </row>
    <row r="23" spans="1:31" x14ac:dyDescent="0.15">
      <c r="A23">
        <v>1</v>
      </c>
      <c r="B23" s="2">
        <v>9</v>
      </c>
      <c r="C23" s="3">
        <f t="shared" si="0"/>
        <v>1.75</v>
      </c>
      <c r="E23">
        <v>82</v>
      </c>
      <c r="F23">
        <v>2.8</v>
      </c>
      <c r="G23">
        <f t="shared" si="1"/>
        <v>87.6</v>
      </c>
      <c r="H23">
        <f t="shared" si="2"/>
        <v>84.8</v>
      </c>
      <c r="I23">
        <f t="shared" si="3"/>
        <v>79.2</v>
      </c>
      <c r="J23">
        <f t="shared" si="4"/>
        <v>76.400000000000006</v>
      </c>
      <c r="K23">
        <f t="shared" si="5"/>
        <v>75</v>
      </c>
      <c r="L23">
        <f t="shared" si="6"/>
        <v>73.599999999999994</v>
      </c>
      <c r="N23">
        <v>10.4</v>
      </c>
      <c r="O23">
        <v>1.04</v>
      </c>
      <c r="P23">
        <f t="shared" si="7"/>
        <v>12.48</v>
      </c>
      <c r="Q23">
        <f t="shared" si="8"/>
        <v>11.440000000000001</v>
      </c>
      <c r="R23">
        <f t="shared" si="9"/>
        <v>9.36</v>
      </c>
      <c r="S23">
        <f t="shared" si="10"/>
        <v>8.32</v>
      </c>
      <c r="U23">
        <v>5.25</v>
      </c>
      <c r="V23">
        <v>6.4</v>
      </c>
      <c r="W23">
        <v>0.7</v>
      </c>
      <c r="X23">
        <f t="shared" si="11"/>
        <v>7.8000000000000007</v>
      </c>
      <c r="Y23">
        <f t="shared" si="12"/>
        <v>7.1000000000000005</v>
      </c>
      <c r="Z23">
        <f t="shared" si="13"/>
        <v>5.7</v>
      </c>
      <c r="AA23">
        <f t="shared" si="14"/>
        <v>5</v>
      </c>
      <c r="AC23">
        <v>13.4</v>
      </c>
      <c r="AD23">
        <v>15.5</v>
      </c>
      <c r="AE23">
        <v>18</v>
      </c>
    </row>
    <row r="24" spans="1:31" x14ac:dyDescent="0.15">
      <c r="A24">
        <v>1</v>
      </c>
      <c r="B24" s="2">
        <v>10</v>
      </c>
      <c r="C24" s="3">
        <f t="shared" si="0"/>
        <v>1.8333333333333335</v>
      </c>
      <c r="E24">
        <v>82.8</v>
      </c>
      <c r="F24">
        <v>2.9</v>
      </c>
      <c r="G24">
        <f t="shared" si="1"/>
        <v>88.6</v>
      </c>
      <c r="H24">
        <f t="shared" si="2"/>
        <v>85.7</v>
      </c>
      <c r="I24">
        <f t="shared" si="3"/>
        <v>79.899999999999991</v>
      </c>
      <c r="J24">
        <f t="shared" si="4"/>
        <v>77</v>
      </c>
      <c r="K24">
        <f t="shared" si="5"/>
        <v>75.55</v>
      </c>
      <c r="L24">
        <f t="shared" si="6"/>
        <v>74.099999999999994</v>
      </c>
      <c r="N24">
        <v>10.7</v>
      </c>
      <c r="O24">
        <v>1.19</v>
      </c>
      <c r="P24">
        <f t="shared" si="7"/>
        <v>13.079999999999998</v>
      </c>
      <c r="Q24">
        <f t="shared" si="8"/>
        <v>11.889999999999999</v>
      </c>
      <c r="R24">
        <f t="shared" si="9"/>
        <v>9.51</v>
      </c>
      <c r="S24">
        <f t="shared" si="10"/>
        <v>8.32</v>
      </c>
      <c r="U24">
        <v>5.5</v>
      </c>
      <c r="V24">
        <v>6.3</v>
      </c>
      <c r="W24">
        <v>0.7</v>
      </c>
      <c r="X24">
        <f t="shared" si="11"/>
        <v>7.6999999999999993</v>
      </c>
      <c r="Y24">
        <f t="shared" si="12"/>
        <v>7</v>
      </c>
      <c r="Z24">
        <f t="shared" si="13"/>
        <v>5.6</v>
      </c>
      <c r="AA24">
        <f t="shared" si="14"/>
        <v>4.9000000000000004</v>
      </c>
      <c r="AC24">
        <v>13.4</v>
      </c>
      <c r="AD24">
        <v>15.5</v>
      </c>
      <c r="AE24">
        <v>18</v>
      </c>
    </row>
    <row r="25" spans="1:31" x14ac:dyDescent="0.15">
      <c r="A25">
        <v>1</v>
      </c>
      <c r="B25" s="2">
        <v>11</v>
      </c>
      <c r="C25" s="3">
        <f t="shared" si="0"/>
        <v>1.9166666666666665</v>
      </c>
      <c r="E25">
        <v>83.5</v>
      </c>
      <c r="F25">
        <v>2.9</v>
      </c>
      <c r="G25">
        <f t="shared" si="1"/>
        <v>89.3</v>
      </c>
      <c r="H25">
        <f t="shared" si="2"/>
        <v>86.4</v>
      </c>
      <c r="I25">
        <f t="shared" si="3"/>
        <v>80.599999999999994</v>
      </c>
      <c r="J25">
        <f t="shared" si="4"/>
        <v>77.7</v>
      </c>
      <c r="K25">
        <f t="shared" si="5"/>
        <v>76.25</v>
      </c>
      <c r="L25">
        <f t="shared" si="6"/>
        <v>74.8</v>
      </c>
      <c r="N25">
        <v>11</v>
      </c>
      <c r="O25">
        <v>1.23</v>
      </c>
      <c r="P25">
        <f t="shared" si="7"/>
        <v>13.46</v>
      </c>
      <c r="Q25">
        <f t="shared" si="8"/>
        <v>12.23</v>
      </c>
      <c r="R25">
        <f t="shared" si="9"/>
        <v>9.77</v>
      </c>
      <c r="S25">
        <f t="shared" si="10"/>
        <v>8.5399999999999991</v>
      </c>
      <c r="U25">
        <v>5.75</v>
      </c>
      <c r="V25">
        <v>6.3</v>
      </c>
      <c r="W25">
        <v>0.7</v>
      </c>
      <c r="X25">
        <f t="shared" si="11"/>
        <v>7.6999999999999993</v>
      </c>
      <c r="Y25">
        <f t="shared" si="12"/>
        <v>7</v>
      </c>
      <c r="Z25">
        <f t="shared" si="13"/>
        <v>5.6</v>
      </c>
      <c r="AA25">
        <f t="shared" si="14"/>
        <v>4.9000000000000004</v>
      </c>
      <c r="AC25">
        <v>13.4</v>
      </c>
      <c r="AD25">
        <v>15.5</v>
      </c>
      <c r="AE25">
        <v>18</v>
      </c>
    </row>
    <row r="26" spans="1:31" x14ac:dyDescent="0.15">
      <c r="A26">
        <v>2</v>
      </c>
      <c r="B26" s="2">
        <v>0</v>
      </c>
      <c r="C26" s="3">
        <f t="shared" si="0"/>
        <v>2</v>
      </c>
      <c r="E26">
        <v>84.3</v>
      </c>
      <c r="F26">
        <v>2.9</v>
      </c>
      <c r="G26">
        <f t="shared" si="1"/>
        <v>90.1</v>
      </c>
      <c r="H26">
        <f t="shared" si="2"/>
        <v>87.2</v>
      </c>
      <c r="I26">
        <f t="shared" si="3"/>
        <v>81.399999999999991</v>
      </c>
      <c r="J26">
        <f t="shared" si="4"/>
        <v>78.5</v>
      </c>
      <c r="K26">
        <f t="shared" si="5"/>
        <v>77.05</v>
      </c>
      <c r="L26">
        <f t="shared" si="6"/>
        <v>75.599999999999994</v>
      </c>
      <c r="N26">
        <v>11</v>
      </c>
      <c r="O26">
        <v>1.1200000000000001</v>
      </c>
      <c r="P26">
        <f t="shared" si="7"/>
        <v>13.24</v>
      </c>
      <c r="Q26">
        <f t="shared" si="8"/>
        <v>12.120000000000001</v>
      </c>
      <c r="R26">
        <f t="shared" si="9"/>
        <v>9.879999999999999</v>
      </c>
      <c r="S26">
        <f t="shared" si="10"/>
        <v>8.76</v>
      </c>
      <c r="U26">
        <v>6</v>
      </c>
      <c r="V26">
        <v>6.1</v>
      </c>
      <c r="W26">
        <v>0.7</v>
      </c>
      <c r="X26">
        <f t="shared" si="11"/>
        <v>7.5</v>
      </c>
      <c r="Y26">
        <f t="shared" si="12"/>
        <v>6.8</v>
      </c>
      <c r="Z26">
        <f t="shared" si="13"/>
        <v>5.3999999999999995</v>
      </c>
      <c r="AA26">
        <f t="shared" si="14"/>
        <v>4.6999999999999993</v>
      </c>
      <c r="AC26">
        <v>13.4</v>
      </c>
      <c r="AD26">
        <v>15.5</v>
      </c>
      <c r="AE26">
        <v>18</v>
      </c>
    </row>
    <row r="27" spans="1:31" x14ac:dyDescent="0.15">
      <c r="A27">
        <v>2</v>
      </c>
      <c r="B27" s="2">
        <v>1</v>
      </c>
      <c r="C27" s="3">
        <f t="shared" si="0"/>
        <v>2.0833333333333335</v>
      </c>
      <c r="E27">
        <v>85</v>
      </c>
      <c r="F27">
        <v>3</v>
      </c>
      <c r="G27">
        <f t="shared" si="1"/>
        <v>91</v>
      </c>
      <c r="H27">
        <f t="shared" si="2"/>
        <v>88</v>
      </c>
      <c r="I27">
        <f t="shared" si="3"/>
        <v>82</v>
      </c>
      <c r="J27">
        <f t="shared" si="4"/>
        <v>79</v>
      </c>
      <c r="K27">
        <f t="shared" si="5"/>
        <v>77.5</v>
      </c>
      <c r="L27">
        <f t="shared" si="6"/>
        <v>76</v>
      </c>
      <c r="N27">
        <v>11.2</v>
      </c>
      <c r="O27">
        <v>1.18</v>
      </c>
      <c r="P27">
        <f t="shared" si="7"/>
        <v>13.559999999999999</v>
      </c>
      <c r="Q27">
        <f t="shared" si="8"/>
        <v>12.379999999999999</v>
      </c>
      <c r="R27">
        <f t="shared" si="9"/>
        <v>10.02</v>
      </c>
      <c r="S27">
        <f t="shared" si="10"/>
        <v>8.84</v>
      </c>
      <c r="U27">
        <v>6.25</v>
      </c>
      <c r="V27">
        <v>6.1</v>
      </c>
      <c r="W27">
        <v>0.7</v>
      </c>
      <c r="X27">
        <f t="shared" si="11"/>
        <v>7.5</v>
      </c>
      <c r="Y27">
        <f t="shared" si="12"/>
        <v>6.8</v>
      </c>
      <c r="Z27">
        <f t="shared" si="13"/>
        <v>5.3999999999999995</v>
      </c>
      <c r="AA27">
        <f t="shared" si="14"/>
        <v>4.6999999999999993</v>
      </c>
      <c r="AC27">
        <v>13.4</v>
      </c>
      <c r="AD27">
        <v>15.5</v>
      </c>
      <c r="AE27">
        <v>18</v>
      </c>
    </row>
    <row r="28" spans="1:31" x14ac:dyDescent="0.15">
      <c r="A28">
        <v>2</v>
      </c>
      <c r="B28" s="2">
        <v>2</v>
      </c>
      <c r="C28" s="3">
        <f t="shared" si="0"/>
        <v>2.1666666666666665</v>
      </c>
      <c r="E28">
        <v>85.7</v>
      </c>
      <c r="F28">
        <v>3</v>
      </c>
      <c r="G28">
        <f t="shared" si="1"/>
        <v>91.7</v>
      </c>
      <c r="H28">
        <f t="shared" si="2"/>
        <v>88.7</v>
      </c>
      <c r="I28">
        <f t="shared" si="3"/>
        <v>82.7</v>
      </c>
      <c r="J28">
        <f t="shared" si="4"/>
        <v>79.7</v>
      </c>
      <c r="K28">
        <f t="shared" si="5"/>
        <v>78.2</v>
      </c>
      <c r="L28">
        <f t="shared" si="6"/>
        <v>76.7</v>
      </c>
      <c r="N28">
        <v>11.4</v>
      </c>
      <c r="O28">
        <v>1.25</v>
      </c>
      <c r="P28">
        <f t="shared" si="7"/>
        <v>13.9</v>
      </c>
      <c r="Q28">
        <f t="shared" si="8"/>
        <v>12.65</v>
      </c>
      <c r="R28">
        <f t="shared" si="9"/>
        <v>10.15</v>
      </c>
      <c r="S28">
        <f t="shared" si="10"/>
        <v>8.9</v>
      </c>
      <c r="U28">
        <v>6.5</v>
      </c>
      <c r="V28">
        <v>5.9</v>
      </c>
      <c r="W28">
        <v>0.7</v>
      </c>
      <c r="X28">
        <f t="shared" si="11"/>
        <v>7.3000000000000007</v>
      </c>
      <c r="Y28">
        <f t="shared" si="12"/>
        <v>6.6000000000000005</v>
      </c>
      <c r="Z28">
        <f t="shared" si="13"/>
        <v>5.2</v>
      </c>
      <c r="AA28">
        <f t="shared" si="14"/>
        <v>4.5</v>
      </c>
      <c r="AC28">
        <v>13.3</v>
      </c>
      <c r="AD28">
        <v>15.4</v>
      </c>
      <c r="AE28">
        <v>17.899999999999999</v>
      </c>
    </row>
    <row r="29" spans="1:31" x14ac:dyDescent="0.15">
      <c r="A29">
        <v>2</v>
      </c>
      <c r="B29" s="2">
        <v>3</v>
      </c>
      <c r="C29" s="3">
        <f t="shared" si="0"/>
        <v>2.25</v>
      </c>
      <c r="E29">
        <v>86.4</v>
      </c>
      <c r="F29">
        <v>3</v>
      </c>
      <c r="G29">
        <f t="shared" si="1"/>
        <v>92.4</v>
      </c>
      <c r="H29">
        <f t="shared" si="2"/>
        <v>89.4</v>
      </c>
      <c r="I29">
        <f t="shared" si="3"/>
        <v>83.4</v>
      </c>
      <c r="J29">
        <f t="shared" si="4"/>
        <v>80.400000000000006</v>
      </c>
      <c r="K29">
        <f t="shared" si="5"/>
        <v>78.900000000000006</v>
      </c>
      <c r="L29">
        <f t="shared" si="6"/>
        <v>77.400000000000006</v>
      </c>
      <c r="N29">
        <v>11.5</v>
      </c>
      <c r="O29">
        <v>1.31</v>
      </c>
      <c r="P29">
        <f t="shared" si="7"/>
        <v>14.120000000000001</v>
      </c>
      <c r="Q29">
        <f t="shared" si="8"/>
        <v>12.81</v>
      </c>
      <c r="R29">
        <f t="shared" si="9"/>
        <v>10.19</v>
      </c>
      <c r="S29">
        <f t="shared" si="10"/>
        <v>8.879999999999999</v>
      </c>
      <c r="U29">
        <v>6.75</v>
      </c>
      <c r="V29">
        <v>5.8</v>
      </c>
      <c r="W29">
        <v>0.7</v>
      </c>
      <c r="X29">
        <f t="shared" si="11"/>
        <v>7.1999999999999993</v>
      </c>
      <c r="Y29">
        <f t="shared" si="12"/>
        <v>6.5</v>
      </c>
      <c r="Z29">
        <f t="shared" si="13"/>
        <v>5.0999999999999996</v>
      </c>
      <c r="AA29">
        <f t="shared" si="14"/>
        <v>4.4000000000000004</v>
      </c>
      <c r="AC29">
        <v>13.3</v>
      </c>
      <c r="AD29">
        <v>15.4</v>
      </c>
      <c r="AE29">
        <v>17.899999999999999</v>
      </c>
    </row>
    <row r="30" spans="1:31" x14ac:dyDescent="0.15">
      <c r="A30">
        <v>2</v>
      </c>
      <c r="B30" s="2">
        <v>4</v>
      </c>
      <c r="C30" s="3">
        <f t="shared" si="0"/>
        <v>2.3333333333333335</v>
      </c>
      <c r="E30">
        <v>87.1</v>
      </c>
      <c r="F30">
        <v>3.1</v>
      </c>
      <c r="G30">
        <f t="shared" si="1"/>
        <v>93.3</v>
      </c>
      <c r="H30">
        <f t="shared" si="2"/>
        <v>90.199999999999989</v>
      </c>
      <c r="I30">
        <f t="shared" si="3"/>
        <v>84</v>
      </c>
      <c r="J30">
        <f t="shared" si="4"/>
        <v>80.899999999999991</v>
      </c>
      <c r="K30">
        <f t="shared" si="5"/>
        <v>79.349999999999994</v>
      </c>
      <c r="L30">
        <f t="shared" si="6"/>
        <v>77.8</v>
      </c>
      <c r="N30">
        <v>11.8</v>
      </c>
      <c r="O30">
        <v>1.34</v>
      </c>
      <c r="P30">
        <f t="shared" si="7"/>
        <v>14.48</v>
      </c>
      <c r="Q30">
        <f t="shared" si="8"/>
        <v>13.14</v>
      </c>
      <c r="R30">
        <f t="shared" si="9"/>
        <v>10.46</v>
      </c>
      <c r="S30">
        <f t="shared" si="10"/>
        <v>9.120000000000001</v>
      </c>
      <c r="U30">
        <v>7</v>
      </c>
      <c r="V30">
        <v>5.7</v>
      </c>
      <c r="W30">
        <v>0.7</v>
      </c>
      <c r="X30">
        <f t="shared" si="11"/>
        <v>7.1</v>
      </c>
      <c r="Y30">
        <f t="shared" si="12"/>
        <v>6.4</v>
      </c>
      <c r="Z30">
        <f t="shared" si="13"/>
        <v>5</v>
      </c>
      <c r="AA30">
        <f t="shared" si="14"/>
        <v>4.3000000000000007</v>
      </c>
      <c r="AC30">
        <v>13.3</v>
      </c>
      <c r="AD30">
        <v>15.4</v>
      </c>
      <c r="AE30">
        <v>17.899999999999999</v>
      </c>
    </row>
    <row r="31" spans="1:31" x14ac:dyDescent="0.15">
      <c r="A31">
        <v>2</v>
      </c>
      <c r="B31" s="2">
        <v>5</v>
      </c>
      <c r="C31" s="3">
        <f t="shared" si="0"/>
        <v>2.4166666666666665</v>
      </c>
      <c r="E31">
        <v>87.7</v>
      </c>
      <c r="F31">
        <v>3.1</v>
      </c>
      <c r="G31">
        <f t="shared" si="1"/>
        <v>93.9</v>
      </c>
      <c r="H31">
        <f t="shared" si="2"/>
        <v>90.8</v>
      </c>
      <c r="I31">
        <f t="shared" si="3"/>
        <v>84.600000000000009</v>
      </c>
      <c r="J31">
        <f t="shared" si="4"/>
        <v>81.5</v>
      </c>
      <c r="K31">
        <f t="shared" si="5"/>
        <v>79.95</v>
      </c>
      <c r="L31">
        <f t="shared" si="6"/>
        <v>78.400000000000006</v>
      </c>
      <c r="N31">
        <v>12</v>
      </c>
      <c r="O31">
        <v>1.36</v>
      </c>
      <c r="P31">
        <f t="shared" si="7"/>
        <v>14.72</v>
      </c>
      <c r="Q31">
        <f t="shared" si="8"/>
        <v>13.36</v>
      </c>
      <c r="R31">
        <f t="shared" si="9"/>
        <v>10.64</v>
      </c>
      <c r="S31">
        <f t="shared" si="10"/>
        <v>9.2799999999999994</v>
      </c>
      <c r="U31">
        <v>7.25</v>
      </c>
      <c r="V31">
        <v>5.6</v>
      </c>
      <c r="W31">
        <v>0.7</v>
      </c>
      <c r="X31">
        <f t="shared" si="11"/>
        <v>7</v>
      </c>
      <c r="Y31">
        <f t="shared" si="12"/>
        <v>6.3</v>
      </c>
      <c r="Z31">
        <f t="shared" si="13"/>
        <v>4.8999999999999995</v>
      </c>
      <c r="AA31">
        <f t="shared" si="14"/>
        <v>4.1999999999999993</v>
      </c>
      <c r="AC31">
        <v>13.3</v>
      </c>
      <c r="AD31">
        <v>15.4</v>
      </c>
      <c r="AE31">
        <v>17.899999999999999</v>
      </c>
    </row>
    <row r="32" spans="1:31" x14ac:dyDescent="0.15">
      <c r="A32">
        <v>2</v>
      </c>
      <c r="B32" s="2">
        <v>6</v>
      </c>
      <c r="C32" s="3">
        <f t="shared" si="0"/>
        <v>2.5</v>
      </c>
      <c r="E32">
        <v>88.4</v>
      </c>
      <c r="F32">
        <v>3.1</v>
      </c>
      <c r="G32">
        <f t="shared" si="1"/>
        <v>94.600000000000009</v>
      </c>
      <c r="H32">
        <f t="shared" si="2"/>
        <v>91.5</v>
      </c>
      <c r="I32">
        <f t="shared" si="3"/>
        <v>85.300000000000011</v>
      </c>
      <c r="J32">
        <f t="shared" si="4"/>
        <v>82.2</v>
      </c>
      <c r="K32">
        <f t="shared" si="5"/>
        <v>80.650000000000006</v>
      </c>
      <c r="L32">
        <f t="shared" si="6"/>
        <v>79.100000000000009</v>
      </c>
      <c r="N32">
        <v>12.2</v>
      </c>
      <c r="O32">
        <v>1.39</v>
      </c>
      <c r="P32">
        <f t="shared" si="7"/>
        <v>14.979999999999999</v>
      </c>
      <c r="Q32">
        <f t="shared" si="8"/>
        <v>13.59</v>
      </c>
      <c r="R32">
        <f t="shared" si="9"/>
        <v>10.809999999999999</v>
      </c>
      <c r="S32">
        <f t="shared" si="10"/>
        <v>9.42</v>
      </c>
      <c r="U32">
        <v>7.5</v>
      </c>
      <c r="V32">
        <v>5.5</v>
      </c>
      <c r="W32">
        <v>0.7</v>
      </c>
      <c r="X32">
        <f t="shared" si="11"/>
        <v>6.9</v>
      </c>
      <c r="Y32">
        <f t="shared" si="12"/>
        <v>6.2</v>
      </c>
      <c r="Z32">
        <f t="shared" si="13"/>
        <v>4.8</v>
      </c>
      <c r="AA32">
        <f t="shared" si="14"/>
        <v>4.0999999999999996</v>
      </c>
      <c r="AC32">
        <v>13.3</v>
      </c>
      <c r="AD32">
        <v>15.4</v>
      </c>
      <c r="AE32">
        <v>17.899999999999999</v>
      </c>
    </row>
    <row r="33" spans="1:31" x14ac:dyDescent="0.15">
      <c r="A33">
        <v>2</v>
      </c>
      <c r="B33" s="2">
        <v>7</v>
      </c>
      <c r="C33" s="3">
        <f t="shared" si="0"/>
        <v>2.5833333333333335</v>
      </c>
      <c r="E33">
        <v>89</v>
      </c>
      <c r="F33">
        <v>3.2</v>
      </c>
      <c r="G33">
        <f t="shared" si="1"/>
        <v>95.4</v>
      </c>
      <c r="H33">
        <f t="shared" si="2"/>
        <v>92.2</v>
      </c>
      <c r="I33">
        <f t="shared" si="3"/>
        <v>85.8</v>
      </c>
      <c r="J33">
        <f t="shared" si="4"/>
        <v>82.6</v>
      </c>
      <c r="K33">
        <f t="shared" si="5"/>
        <v>81</v>
      </c>
      <c r="L33">
        <f t="shared" si="6"/>
        <v>79.400000000000006</v>
      </c>
      <c r="N33">
        <v>12.3</v>
      </c>
      <c r="O33">
        <v>1.41</v>
      </c>
      <c r="P33">
        <f t="shared" si="7"/>
        <v>15.120000000000001</v>
      </c>
      <c r="Q33">
        <f t="shared" si="8"/>
        <v>13.71</v>
      </c>
      <c r="R33">
        <f t="shared" si="9"/>
        <v>10.89</v>
      </c>
      <c r="S33">
        <f t="shared" si="10"/>
        <v>9.48</v>
      </c>
      <c r="U33">
        <v>7.75</v>
      </c>
      <c r="V33">
        <v>5.4</v>
      </c>
      <c r="W33">
        <v>0.8</v>
      </c>
      <c r="X33">
        <f t="shared" si="11"/>
        <v>7</v>
      </c>
      <c r="Y33">
        <f t="shared" si="12"/>
        <v>6.2</v>
      </c>
      <c r="Z33">
        <f t="shared" si="13"/>
        <v>4.6000000000000005</v>
      </c>
      <c r="AA33">
        <f t="shared" si="14"/>
        <v>3.8000000000000003</v>
      </c>
      <c r="AC33">
        <v>13.3</v>
      </c>
      <c r="AD33">
        <v>15.4</v>
      </c>
      <c r="AE33">
        <v>17.899999999999999</v>
      </c>
    </row>
    <row r="34" spans="1:31" x14ac:dyDescent="0.15">
      <c r="A34">
        <v>2</v>
      </c>
      <c r="B34" s="2">
        <v>8</v>
      </c>
      <c r="C34" s="3">
        <f t="shared" si="0"/>
        <v>2.6666666666666665</v>
      </c>
      <c r="E34">
        <v>89.6</v>
      </c>
      <c r="F34">
        <v>3.2</v>
      </c>
      <c r="G34">
        <f t="shared" si="1"/>
        <v>96</v>
      </c>
      <c r="H34">
        <f t="shared" si="2"/>
        <v>92.8</v>
      </c>
      <c r="I34">
        <f t="shared" si="3"/>
        <v>86.399999999999991</v>
      </c>
      <c r="J34">
        <f t="shared" si="4"/>
        <v>83.199999999999989</v>
      </c>
      <c r="K34">
        <f t="shared" si="5"/>
        <v>81.599999999999994</v>
      </c>
      <c r="L34">
        <f t="shared" si="6"/>
        <v>80</v>
      </c>
      <c r="N34">
        <v>12.5</v>
      </c>
      <c r="O34">
        <v>1.44</v>
      </c>
      <c r="P34">
        <f t="shared" si="7"/>
        <v>15.379999999999999</v>
      </c>
      <c r="Q34">
        <f t="shared" si="8"/>
        <v>13.94</v>
      </c>
      <c r="R34">
        <f t="shared" si="9"/>
        <v>11.06</v>
      </c>
      <c r="S34">
        <f t="shared" si="10"/>
        <v>9.620000000000001</v>
      </c>
      <c r="U34">
        <v>8</v>
      </c>
      <c r="V34">
        <v>5.4</v>
      </c>
      <c r="W34">
        <v>0.8</v>
      </c>
      <c r="X34">
        <f t="shared" si="11"/>
        <v>7</v>
      </c>
      <c r="Y34">
        <f t="shared" si="12"/>
        <v>6.2</v>
      </c>
      <c r="Z34">
        <f t="shared" si="13"/>
        <v>4.6000000000000005</v>
      </c>
      <c r="AA34">
        <f t="shared" si="14"/>
        <v>3.8000000000000003</v>
      </c>
      <c r="AC34">
        <v>13.3</v>
      </c>
      <c r="AD34">
        <v>15.4</v>
      </c>
      <c r="AE34">
        <v>17.899999999999999</v>
      </c>
    </row>
    <row r="35" spans="1:31" x14ac:dyDescent="0.15">
      <c r="A35">
        <v>2</v>
      </c>
      <c r="B35" s="2">
        <v>9</v>
      </c>
      <c r="C35" s="3">
        <f t="shared" si="0"/>
        <v>2.75</v>
      </c>
      <c r="E35">
        <v>90.3</v>
      </c>
      <c r="F35">
        <v>3.3</v>
      </c>
      <c r="G35">
        <f t="shared" si="1"/>
        <v>96.899999999999991</v>
      </c>
      <c r="H35">
        <f t="shared" si="2"/>
        <v>93.6</v>
      </c>
      <c r="I35">
        <f t="shared" si="3"/>
        <v>87</v>
      </c>
      <c r="J35">
        <f t="shared" si="4"/>
        <v>83.7</v>
      </c>
      <c r="K35">
        <f t="shared" si="5"/>
        <v>82.05</v>
      </c>
      <c r="L35">
        <f t="shared" si="6"/>
        <v>80.400000000000006</v>
      </c>
      <c r="N35">
        <v>12.7</v>
      </c>
      <c r="O35">
        <v>1.46</v>
      </c>
      <c r="P35">
        <f t="shared" si="7"/>
        <v>15.62</v>
      </c>
      <c r="Q35">
        <f t="shared" si="8"/>
        <v>14.16</v>
      </c>
      <c r="R35">
        <f t="shared" si="9"/>
        <v>11.239999999999998</v>
      </c>
      <c r="S35">
        <f t="shared" si="10"/>
        <v>9.7799999999999994</v>
      </c>
      <c r="U35">
        <v>8.25</v>
      </c>
      <c r="V35">
        <v>5.3</v>
      </c>
      <c r="W35">
        <v>0.8</v>
      </c>
      <c r="X35">
        <f t="shared" si="11"/>
        <v>6.9</v>
      </c>
      <c r="Y35">
        <f t="shared" si="12"/>
        <v>6.1</v>
      </c>
      <c r="Z35">
        <f t="shared" si="13"/>
        <v>4.5</v>
      </c>
      <c r="AA35">
        <f t="shared" si="14"/>
        <v>3.6999999999999997</v>
      </c>
      <c r="AC35">
        <v>13.3</v>
      </c>
      <c r="AD35">
        <v>15.3</v>
      </c>
      <c r="AE35">
        <v>17.899999999999999</v>
      </c>
    </row>
    <row r="36" spans="1:31" x14ac:dyDescent="0.15">
      <c r="A36">
        <v>2</v>
      </c>
      <c r="B36" s="2">
        <v>10</v>
      </c>
      <c r="C36" s="3">
        <f t="shared" si="0"/>
        <v>2.8333333333333335</v>
      </c>
      <c r="E36">
        <v>90.9</v>
      </c>
      <c r="F36">
        <v>3.3</v>
      </c>
      <c r="G36">
        <f t="shared" si="1"/>
        <v>97.5</v>
      </c>
      <c r="H36">
        <f t="shared" si="2"/>
        <v>94.2</v>
      </c>
      <c r="I36">
        <f t="shared" si="3"/>
        <v>87.600000000000009</v>
      </c>
      <c r="J36">
        <f t="shared" si="4"/>
        <v>84.300000000000011</v>
      </c>
      <c r="K36">
        <f t="shared" si="5"/>
        <v>82.65</v>
      </c>
      <c r="L36">
        <f t="shared" si="6"/>
        <v>81</v>
      </c>
      <c r="N36">
        <v>12.8</v>
      </c>
      <c r="O36">
        <v>1.5</v>
      </c>
      <c r="P36">
        <f t="shared" si="7"/>
        <v>15.8</v>
      </c>
      <c r="Q36">
        <f t="shared" si="8"/>
        <v>14.3</v>
      </c>
      <c r="R36">
        <f t="shared" si="9"/>
        <v>11.3</v>
      </c>
      <c r="S36">
        <f t="shared" si="10"/>
        <v>9.8000000000000007</v>
      </c>
      <c r="U36">
        <v>8.5</v>
      </c>
      <c r="V36">
        <v>5.3</v>
      </c>
      <c r="W36">
        <v>0.8</v>
      </c>
      <c r="X36">
        <f t="shared" si="11"/>
        <v>6.9</v>
      </c>
      <c r="Y36">
        <f t="shared" si="12"/>
        <v>6.1</v>
      </c>
      <c r="Z36">
        <f t="shared" si="13"/>
        <v>4.5</v>
      </c>
      <c r="AA36">
        <f t="shared" si="14"/>
        <v>3.6999999999999997</v>
      </c>
      <c r="AC36">
        <v>13.3</v>
      </c>
      <c r="AD36">
        <v>15.3</v>
      </c>
      <c r="AE36">
        <v>18</v>
      </c>
    </row>
    <row r="37" spans="1:31" x14ac:dyDescent="0.15">
      <c r="A37">
        <v>2</v>
      </c>
      <c r="B37" s="2">
        <v>11</v>
      </c>
      <c r="C37" s="3">
        <f t="shared" si="0"/>
        <v>2.9166666666666665</v>
      </c>
      <c r="E37">
        <v>91.6</v>
      </c>
      <c r="F37">
        <v>3.3</v>
      </c>
      <c r="G37">
        <f t="shared" si="1"/>
        <v>98.199999999999989</v>
      </c>
      <c r="H37">
        <f t="shared" si="2"/>
        <v>94.899999999999991</v>
      </c>
      <c r="I37">
        <f t="shared" si="3"/>
        <v>88.3</v>
      </c>
      <c r="J37">
        <f t="shared" si="4"/>
        <v>85</v>
      </c>
      <c r="K37">
        <f t="shared" si="5"/>
        <v>83.35</v>
      </c>
      <c r="L37">
        <f t="shared" si="6"/>
        <v>81.699999999999989</v>
      </c>
      <c r="N37">
        <v>13</v>
      </c>
      <c r="O37">
        <v>1.53</v>
      </c>
      <c r="P37">
        <f t="shared" si="7"/>
        <v>16.059999999999999</v>
      </c>
      <c r="Q37">
        <f t="shared" si="8"/>
        <v>14.53</v>
      </c>
      <c r="R37">
        <f t="shared" si="9"/>
        <v>11.47</v>
      </c>
      <c r="S37">
        <f t="shared" si="10"/>
        <v>9.94</v>
      </c>
      <c r="U37">
        <v>8.75</v>
      </c>
      <c r="V37">
        <v>5.3</v>
      </c>
      <c r="W37">
        <v>0.8</v>
      </c>
      <c r="X37">
        <f t="shared" si="11"/>
        <v>6.9</v>
      </c>
      <c r="Y37">
        <f t="shared" si="12"/>
        <v>6.1</v>
      </c>
      <c r="Z37">
        <f t="shared" si="13"/>
        <v>4.5</v>
      </c>
      <c r="AA37">
        <f t="shared" si="14"/>
        <v>3.6999999999999997</v>
      </c>
      <c r="AC37">
        <v>13.3</v>
      </c>
      <c r="AD37">
        <v>15.3</v>
      </c>
      <c r="AE37">
        <v>18</v>
      </c>
    </row>
    <row r="38" spans="1:31" x14ac:dyDescent="0.15">
      <c r="A38">
        <f t="shared" ref="A38:A69" si="15">A26+1</f>
        <v>3</v>
      </c>
      <c r="B38" s="2">
        <v>0</v>
      </c>
      <c r="C38" s="3">
        <f t="shared" si="0"/>
        <v>3</v>
      </c>
      <c r="E38">
        <v>92.2</v>
      </c>
      <c r="F38">
        <v>3.4</v>
      </c>
      <c r="G38">
        <f t="shared" si="1"/>
        <v>99</v>
      </c>
      <c r="H38">
        <f t="shared" si="2"/>
        <v>95.600000000000009</v>
      </c>
      <c r="I38">
        <f t="shared" si="3"/>
        <v>88.8</v>
      </c>
      <c r="J38">
        <f t="shared" si="4"/>
        <v>85.4</v>
      </c>
      <c r="K38">
        <f t="shared" si="5"/>
        <v>83.7</v>
      </c>
      <c r="L38">
        <f t="shared" si="6"/>
        <v>82</v>
      </c>
      <c r="N38">
        <v>13.1</v>
      </c>
      <c r="O38">
        <v>1.57</v>
      </c>
      <c r="P38">
        <f t="shared" si="7"/>
        <v>16.239999999999998</v>
      </c>
      <c r="Q38">
        <f t="shared" si="8"/>
        <v>14.67</v>
      </c>
      <c r="R38">
        <f t="shared" si="9"/>
        <v>11.53</v>
      </c>
      <c r="S38">
        <f t="shared" si="10"/>
        <v>9.9599999999999991</v>
      </c>
      <c r="U38">
        <v>9</v>
      </c>
      <c r="V38">
        <v>5.4</v>
      </c>
      <c r="W38">
        <v>0.8</v>
      </c>
      <c r="X38">
        <f t="shared" ref="X38:X71" si="16">$V38+2*$W38</f>
        <v>7</v>
      </c>
      <c r="Y38">
        <f t="shared" ref="Y38:Y71" si="17">$V38+$W38</f>
        <v>6.2</v>
      </c>
      <c r="Z38">
        <f t="shared" ref="Z38:Z66" si="18">$V38-$W38</f>
        <v>4.6000000000000005</v>
      </c>
      <c r="AA38">
        <f t="shared" ref="AA38:AA60" si="19">$V38-2*$W38</f>
        <v>3.8000000000000003</v>
      </c>
      <c r="AC38">
        <v>13.2</v>
      </c>
      <c r="AD38">
        <v>15.3</v>
      </c>
      <c r="AE38">
        <v>18</v>
      </c>
    </row>
    <row r="39" spans="1:31" x14ac:dyDescent="0.15">
      <c r="A39">
        <f t="shared" si="15"/>
        <v>3</v>
      </c>
      <c r="B39" s="2">
        <v>1</v>
      </c>
      <c r="C39" s="3">
        <f t="shared" si="0"/>
        <v>3.0833333333333335</v>
      </c>
      <c r="E39">
        <v>92.8</v>
      </c>
      <c r="F39">
        <v>3.4</v>
      </c>
      <c r="G39">
        <f t="shared" si="1"/>
        <v>99.6</v>
      </c>
      <c r="H39">
        <f t="shared" si="2"/>
        <v>96.2</v>
      </c>
      <c r="I39">
        <f t="shared" si="3"/>
        <v>89.399999999999991</v>
      </c>
      <c r="J39">
        <f t="shared" si="4"/>
        <v>86</v>
      </c>
      <c r="K39">
        <f t="shared" si="5"/>
        <v>84.3</v>
      </c>
      <c r="L39">
        <f t="shared" si="6"/>
        <v>82.6</v>
      </c>
      <c r="N39">
        <v>13.3</v>
      </c>
      <c r="O39">
        <v>1.61</v>
      </c>
      <c r="P39">
        <f t="shared" si="7"/>
        <v>16.52</v>
      </c>
      <c r="Q39">
        <f t="shared" si="8"/>
        <v>14.91</v>
      </c>
      <c r="R39">
        <f t="shared" si="9"/>
        <v>11.690000000000001</v>
      </c>
      <c r="S39">
        <f t="shared" si="10"/>
        <v>10.08</v>
      </c>
      <c r="U39">
        <v>9.25</v>
      </c>
      <c r="V39">
        <v>5.4</v>
      </c>
      <c r="W39">
        <v>0.8</v>
      </c>
      <c r="X39">
        <f t="shared" si="16"/>
        <v>7</v>
      </c>
      <c r="Y39">
        <f t="shared" si="17"/>
        <v>6.2</v>
      </c>
      <c r="Z39">
        <f t="shared" si="18"/>
        <v>4.6000000000000005</v>
      </c>
      <c r="AA39">
        <f t="shared" si="19"/>
        <v>3.8000000000000003</v>
      </c>
      <c r="AC39">
        <v>13.2</v>
      </c>
      <c r="AD39">
        <v>15.3</v>
      </c>
      <c r="AE39">
        <v>18</v>
      </c>
    </row>
    <row r="40" spans="1:31" x14ac:dyDescent="0.15">
      <c r="A40">
        <f t="shared" si="15"/>
        <v>3</v>
      </c>
      <c r="B40" s="2">
        <v>2</v>
      </c>
      <c r="C40" s="3">
        <f t="shared" si="0"/>
        <v>3.1666666666666665</v>
      </c>
      <c r="E40">
        <v>93.5</v>
      </c>
      <c r="F40">
        <v>3.4</v>
      </c>
      <c r="G40">
        <f t="shared" si="1"/>
        <v>100.3</v>
      </c>
      <c r="H40">
        <f t="shared" si="2"/>
        <v>96.9</v>
      </c>
      <c r="I40">
        <f t="shared" si="3"/>
        <v>90.1</v>
      </c>
      <c r="J40">
        <f t="shared" si="4"/>
        <v>86.7</v>
      </c>
      <c r="K40">
        <f t="shared" si="5"/>
        <v>85</v>
      </c>
      <c r="L40">
        <f t="shared" si="6"/>
        <v>83.3</v>
      </c>
      <c r="N40">
        <v>13.4</v>
      </c>
      <c r="O40">
        <v>1.64</v>
      </c>
      <c r="P40">
        <f t="shared" si="7"/>
        <v>16.68</v>
      </c>
      <c r="Q40">
        <f t="shared" si="8"/>
        <v>15.040000000000001</v>
      </c>
      <c r="R40">
        <f t="shared" si="9"/>
        <v>11.76</v>
      </c>
      <c r="S40">
        <f t="shared" si="10"/>
        <v>10.120000000000001</v>
      </c>
      <c r="U40">
        <v>9.5</v>
      </c>
      <c r="V40">
        <v>5.6</v>
      </c>
      <c r="W40">
        <v>0.8</v>
      </c>
      <c r="X40">
        <f t="shared" si="16"/>
        <v>7.1999999999999993</v>
      </c>
      <c r="Y40">
        <f t="shared" si="17"/>
        <v>6.3999999999999995</v>
      </c>
      <c r="Z40">
        <f t="shared" si="18"/>
        <v>4.8</v>
      </c>
      <c r="AA40">
        <f t="shared" si="19"/>
        <v>3.9999999999999996</v>
      </c>
      <c r="AC40">
        <v>13.2</v>
      </c>
      <c r="AD40">
        <v>15.3</v>
      </c>
      <c r="AE40">
        <v>18</v>
      </c>
    </row>
    <row r="41" spans="1:31" x14ac:dyDescent="0.15">
      <c r="A41">
        <f t="shared" si="15"/>
        <v>3</v>
      </c>
      <c r="B41" s="2">
        <v>3</v>
      </c>
      <c r="C41" s="3">
        <f t="shared" si="0"/>
        <v>3.25</v>
      </c>
      <c r="E41">
        <v>94.1</v>
      </c>
      <c r="F41">
        <v>3.5</v>
      </c>
      <c r="G41">
        <f t="shared" si="1"/>
        <v>101.1</v>
      </c>
      <c r="H41">
        <f t="shared" si="2"/>
        <v>97.6</v>
      </c>
      <c r="I41">
        <f t="shared" si="3"/>
        <v>90.6</v>
      </c>
      <c r="J41">
        <f t="shared" si="4"/>
        <v>87.1</v>
      </c>
      <c r="K41">
        <f t="shared" si="5"/>
        <v>85.35</v>
      </c>
      <c r="L41">
        <f t="shared" si="6"/>
        <v>83.6</v>
      </c>
      <c r="N41">
        <v>13.6</v>
      </c>
      <c r="O41">
        <v>1.68</v>
      </c>
      <c r="P41">
        <f t="shared" si="7"/>
        <v>16.96</v>
      </c>
      <c r="Q41">
        <f t="shared" si="8"/>
        <v>15.28</v>
      </c>
      <c r="R41">
        <f t="shared" si="9"/>
        <v>11.92</v>
      </c>
      <c r="S41">
        <f t="shared" si="10"/>
        <v>10.24</v>
      </c>
      <c r="U41">
        <v>9.75</v>
      </c>
      <c r="V41">
        <v>5.9</v>
      </c>
      <c r="W41">
        <v>0.8</v>
      </c>
      <c r="X41">
        <f t="shared" si="16"/>
        <v>7.5</v>
      </c>
      <c r="Y41">
        <f t="shared" si="17"/>
        <v>6.7</v>
      </c>
      <c r="Z41">
        <f t="shared" si="18"/>
        <v>5.1000000000000005</v>
      </c>
      <c r="AA41">
        <f t="shared" si="19"/>
        <v>4.3000000000000007</v>
      </c>
      <c r="AC41">
        <v>13.2</v>
      </c>
      <c r="AD41">
        <v>15.3</v>
      </c>
      <c r="AE41">
        <v>18</v>
      </c>
    </row>
    <row r="42" spans="1:31" x14ac:dyDescent="0.15">
      <c r="A42">
        <f t="shared" si="15"/>
        <v>3</v>
      </c>
      <c r="B42" s="2">
        <v>4</v>
      </c>
      <c r="C42" s="3">
        <f t="shared" si="0"/>
        <v>3.3333333333333335</v>
      </c>
      <c r="E42">
        <v>94.7</v>
      </c>
      <c r="F42">
        <v>3.5</v>
      </c>
      <c r="G42">
        <f t="shared" si="1"/>
        <v>101.7</v>
      </c>
      <c r="H42">
        <f t="shared" si="2"/>
        <v>98.2</v>
      </c>
      <c r="I42">
        <f t="shared" si="3"/>
        <v>91.2</v>
      </c>
      <c r="J42">
        <f t="shared" si="4"/>
        <v>87.7</v>
      </c>
      <c r="K42">
        <f t="shared" si="5"/>
        <v>85.95</v>
      </c>
      <c r="L42">
        <f t="shared" si="6"/>
        <v>84.2</v>
      </c>
      <c r="N42">
        <v>13.8</v>
      </c>
      <c r="O42">
        <v>1.68</v>
      </c>
      <c r="P42">
        <f t="shared" si="7"/>
        <v>17.16</v>
      </c>
      <c r="Q42">
        <f t="shared" si="8"/>
        <v>15.48</v>
      </c>
      <c r="R42">
        <f t="shared" si="9"/>
        <v>12.120000000000001</v>
      </c>
      <c r="S42">
        <f t="shared" si="10"/>
        <v>10.440000000000001</v>
      </c>
      <c r="U42">
        <v>10</v>
      </c>
      <c r="V42">
        <v>6.3</v>
      </c>
      <c r="W42">
        <v>0.8</v>
      </c>
      <c r="X42">
        <f t="shared" si="16"/>
        <v>7.9</v>
      </c>
      <c r="Y42">
        <f t="shared" si="17"/>
        <v>7.1</v>
      </c>
      <c r="Z42">
        <f t="shared" si="18"/>
        <v>5.5</v>
      </c>
      <c r="AA42">
        <f t="shared" si="19"/>
        <v>4.6999999999999993</v>
      </c>
      <c r="AC42">
        <v>13.2</v>
      </c>
      <c r="AD42">
        <v>15.3</v>
      </c>
      <c r="AE42">
        <v>18</v>
      </c>
    </row>
    <row r="43" spans="1:31" x14ac:dyDescent="0.15">
      <c r="A43">
        <f t="shared" si="15"/>
        <v>3</v>
      </c>
      <c r="B43" s="2">
        <v>5</v>
      </c>
      <c r="C43" s="3">
        <f t="shared" si="0"/>
        <v>3.4166666666666665</v>
      </c>
      <c r="E43">
        <v>95.3</v>
      </c>
      <c r="F43">
        <v>3.5</v>
      </c>
      <c r="G43">
        <f t="shared" si="1"/>
        <v>102.3</v>
      </c>
      <c r="H43">
        <f t="shared" si="2"/>
        <v>98.8</v>
      </c>
      <c r="I43">
        <f t="shared" si="3"/>
        <v>91.8</v>
      </c>
      <c r="J43">
        <f t="shared" si="4"/>
        <v>88.3</v>
      </c>
      <c r="K43">
        <f t="shared" si="5"/>
        <v>86.55</v>
      </c>
      <c r="L43">
        <f t="shared" si="6"/>
        <v>84.8</v>
      </c>
      <c r="N43">
        <v>13.9</v>
      </c>
      <c r="O43">
        <v>1.68</v>
      </c>
      <c r="P43">
        <f t="shared" si="7"/>
        <v>17.260000000000002</v>
      </c>
      <c r="Q43">
        <f t="shared" si="8"/>
        <v>15.58</v>
      </c>
      <c r="R43">
        <f t="shared" si="9"/>
        <v>12.22</v>
      </c>
      <c r="S43">
        <f t="shared" si="10"/>
        <v>10.540000000000001</v>
      </c>
      <c r="U43">
        <v>10.25</v>
      </c>
      <c r="V43">
        <v>6.7</v>
      </c>
      <c r="W43">
        <v>0.8</v>
      </c>
      <c r="X43">
        <f t="shared" si="16"/>
        <v>8.3000000000000007</v>
      </c>
      <c r="Y43">
        <f t="shared" si="17"/>
        <v>7.5</v>
      </c>
      <c r="Z43">
        <f t="shared" si="18"/>
        <v>5.9</v>
      </c>
      <c r="AA43">
        <f t="shared" si="19"/>
        <v>5.0999999999999996</v>
      </c>
      <c r="AC43">
        <v>13.2</v>
      </c>
      <c r="AD43">
        <v>15.3</v>
      </c>
      <c r="AE43">
        <v>18.100000000000001</v>
      </c>
    </row>
    <row r="44" spans="1:31" x14ac:dyDescent="0.15">
      <c r="A44">
        <f t="shared" si="15"/>
        <v>3</v>
      </c>
      <c r="B44" s="2">
        <v>6</v>
      </c>
      <c r="C44" s="3">
        <f t="shared" si="0"/>
        <v>3.5</v>
      </c>
      <c r="E44">
        <v>95.9</v>
      </c>
      <c r="F44">
        <v>3.6</v>
      </c>
      <c r="G44">
        <f t="shared" si="1"/>
        <v>103.10000000000001</v>
      </c>
      <c r="H44">
        <f t="shared" si="2"/>
        <v>99.5</v>
      </c>
      <c r="I44">
        <f t="shared" si="3"/>
        <v>92.300000000000011</v>
      </c>
      <c r="J44">
        <f t="shared" si="4"/>
        <v>88.7</v>
      </c>
      <c r="K44">
        <f t="shared" si="5"/>
        <v>86.9</v>
      </c>
      <c r="L44">
        <f t="shared" si="6"/>
        <v>85.100000000000009</v>
      </c>
      <c r="N44">
        <v>14.1</v>
      </c>
      <c r="O44">
        <v>1.68</v>
      </c>
      <c r="P44">
        <f t="shared" si="7"/>
        <v>17.46</v>
      </c>
      <c r="Q44">
        <f t="shared" si="8"/>
        <v>15.78</v>
      </c>
      <c r="R44">
        <f t="shared" si="9"/>
        <v>12.42</v>
      </c>
      <c r="S44">
        <f t="shared" si="10"/>
        <v>10.74</v>
      </c>
      <c r="U44">
        <v>10.5</v>
      </c>
      <c r="V44">
        <v>7.3</v>
      </c>
      <c r="W44">
        <v>0.9</v>
      </c>
      <c r="X44">
        <f t="shared" si="16"/>
        <v>9.1</v>
      </c>
      <c r="Y44">
        <f t="shared" si="17"/>
        <v>8.1999999999999993</v>
      </c>
      <c r="Z44">
        <f t="shared" si="18"/>
        <v>6.3999999999999995</v>
      </c>
      <c r="AA44">
        <f t="shared" si="19"/>
        <v>5.5</v>
      </c>
      <c r="AC44">
        <v>13.2</v>
      </c>
      <c r="AD44">
        <v>15.3</v>
      </c>
      <c r="AE44">
        <v>18.100000000000001</v>
      </c>
    </row>
    <row r="45" spans="1:31" x14ac:dyDescent="0.15">
      <c r="A45">
        <f t="shared" si="15"/>
        <v>3</v>
      </c>
      <c r="B45" s="2">
        <v>7</v>
      </c>
      <c r="C45" s="3">
        <f t="shared" si="0"/>
        <v>3.5833333333333335</v>
      </c>
      <c r="E45">
        <v>96.5</v>
      </c>
      <c r="F45">
        <v>3.6</v>
      </c>
      <c r="G45">
        <f t="shared" si="1"/>
        <v>103.7</v>
      </c>
      <c r="H45">
        <f t="shared" si="2"/>
        <v>100.1</v>
      </c>
      <c r="I45">
        <f t="shared" si="3"/>
        <v>92.9</v>
      </c>
      <c r="J45">
        <f t="shared" si="4"/>
        <v>89.3</v>
      </c>
      <c r="K45">
        <f t="shared" si="5"/>
        <v>87.5</v>
      </c>
      <c r="L45">
        <f t="shared" si="6"/>
        <v>85.7</v>
      </c>
      <c r="N45">
        <v>14.3</v>
      </c>
      <c r="O45">
        <v>1.67</v>
      </c>
      <c r="P45">
        <f t="shared" si="7"/>
        <v>17.64</v>
      </c>
      <c r="Q45">
        <f t="shared" si="8"/>
        <v>15.97</v>
      </c>
      <c r="R45">
        <f t="shared" si="9"/>
        <v>12.63</v>
      </c>
      <c r="S45">
        <f t="shared" si="10"/>
        <v>10.96</v>
      </c>
      <c r="U45">
        <v>10.75</v>
      </c>
      <c r="V45">
        <v>7.9</v>
      </c>
      <c r="W45">
        <v>1</v>
      </c>
      <c r="X45">
        <f t="shared" si="16"/>
        <v>9.9</v>
      </c>
      <c r="Y45">
        <f t="shared" si="17"/>
        <v>8.9</v>
      </c>
      <c r="Z45">
        <f t="shared" si="18"/>
        <v>6.9</v>
      </c>
      <c r="AA45">
        <f t="shared" si="19"/>
        <v>5.9</v>
      </c>
      <c r="AC45">
        <v>13.2</v>
      </c>
      <c r="AD45">
        <v>15.3</v>
      </c>
      <c r="AE45">
        <v>18.100000000000001</v>
      </c>
    </row>
    <row r="46" spans="1:31" x14ac:dyDescent="0.15">
      <c r="A46">
        <f t="shared" si="15"/>
        <v>3</v>
      </c>
      <c r="B46" s="2">
        <v>8</v>
      </c>
      <c r="C46" s="3">
        <f t="shared" si="0"/>
        <v>3.6666666666666665</v>
      </c>
      <c r="E46">
        <v>97.1</v>
      </c>
      <c r="F46">
        <v>3.6</v>
      </c>
      <c r="G46">
        <f t="shared" si="1"/>
        <v>104.3</v>
      </c>
      <c r="H46">
        <f t="shared" si="2"/>
        <v>100.69999999999999</v>
      </c>
      <c r="I46">
        <f t="shared" si="3"/>
        <v>93.5</v>
      </c>
      <c r="J46">
        <f t="shared" si="4"/>
        <v>89.899999999999991</v>
      </c>
      <c r="K46">
        <f t="shared" si="5"/>
        <v>88.1</v>
      </c>
      <c r="L46">
        <f t="shared" si="6"/>
        <v>86.3</v>
      </c>
      <c r="N46">
        <v>14.4</v>
      </c>
      <c r="O46">
        <v>1.67</v>
      </c>
      <c r="P46">
        <f t="shared" si="7"/>
        <v>17.740000000000002</v>
      </c>
      <c r="Q46">
        <f t="shared" si="8"/>
        <v>16.07</v>
      </c>
      <c r="R46">
        <f t="shared" si="9"/>
        <v>12.73</v>
      </c>
      <c r="S46">
        <f t="shared" si="10"/>
        <v>11.06</v>
      </c>
      <c r="U46">
        <v>11</v>
      </c>
      <c r="V46">
        <v>8.3000000000000007</v>
      </c>
      <c r="W46">
        <v>1.1000000000000001</v>
      </c>
      <c r="X46">
        <f t="shared" si="16"/>
        <v>10.5</v>
      </c>
      <c r="Y46">
        <f t="shared" si="17"/>
        <v>9.4</v>
      </c>
      <c r="Z46">
        <f t="shared" si="18"/>
        <v>7.2000000000000011</v>
      </c>
      <c r="AA46">
        <f t="shared" si="19"/>
        <v>6.1000000000000005</v>
      </c>
      <c r="AC46">
        <v>13.2</v>
      </c>
      <c r="AD46">
        <v>15.3</v>
      </c>
      <c r="AE46">
        <v>18.100000000000001</v>
      </c>
    </row>
    <row r="47" spans="1:31" x14ac:dyDescent="0.15">
      <c r="A47">
        <f t="shared" si="15"/>
        <v>3</v>
      </c>
      <c r="B47" s="2">
        <v>9</v>
      </c>
      <c r="C47" s="3">
        <f t="shared" si="0"/>
        <v>3.75</v>
      </c>
      <c r="E47">
        <v>97.7</v>
      </c>
      <c r="F47">
        <v>3.7</v>
      </c>
      <c r="G47">
        <f t="shared" si="1"/>
        <v>105.10000000000001</v>
      </c>
      <c r="H47">
        <f t="shared" si="2"/>
        <v>101.4</v>
      </c>
      <c r="I47">
        <f t="shared" si="3"/>
        <v>94</v>
      </c>
      <c r="J47">
        <f t="shared" si="4"/>
        <v>90.3</v>
      </c>
      <c r="K47">
        <f t="shared" si="5"/>
        <v>88.45</v>
      </c>
      <c r="L47">
        <f t="shared" si="6"/>
        <v>86.6</v>
      </c>
      <c r="N47">
        <v>14.6</v>
      </c>
      <c r="O47">
        <v>1.67</v>
      </c>
      <c r="P47">
        <f t="shared" si="7"/>
        <v>17.939999999999998</v>
      </c>
      <c r="Q47">
        <f t="shared" si="8"/>
        <v>16.27</v>
      </c>
      <c r="R47">
        <f t="shared" si="9"/>
        <v>12.93</v>
      </c>
      <c r="S47">
        <f t="shared" si="10"/>
        <v>11.26</v>
      </c>
      <c r="U47">
        <v>11.25</v>
      </c>
      <c r="V47">
        <v>8</v>
      </c>
      <c r="W47">
        <v>1</v>
      </c>
      <c r="X47">
        <f t="shared" si="16"/>
        <v>10</v>
      </c>
      <c r="Y47">
        <f t="shared" si="17"/>
        <v>9</v>
      </c>
      <c r="Z47">
        <f t="shared" si="18"/>
        <v>7</v>
      </c>
      <c r="AA47">
        <f t="shared" si="19"/>
        <v>6</v>
      </c>
      <c r="AC47">
        <v>13.2</v>
      </c>
      <c r="AD47">
        <v>15.3</v>
      </c>
      <c r="AE47">
        <v>18.2</v>
      </c>
    </row>
    <row r="48" spans="1:31" x14ac:dyDescent="0.15">
      <c r="A48">
        <f t="shared" si="15"/>
        <v>3</v>
      </c>
      <c r="B48" s="2">
        <v>10</v>
      </c>
      <c r="C48" s="3">
        <f t="shared" si="0"/>
        <v>3.8333333333333335</v>
      </c>
      <c r="E48">
        <v>98.3</v>
      </c>
      <c r="F48">
        <v>3.7</v>
      </c>
      <c r="G48">
        <f t="shared" si="1"/>
        <v>105.7</v>
      </c>
      <c r="H48">
        <f t="shared" si="2"/>
        <v>102</v>
      </c>
      <c r="I48">
        <f t="shared" si="3"/>
        <v>94.6</v>
      </c>
      <c r="J48">
        <f t="shared" si="4"/>
        <v>90.899999999999991</v>
      </c>
      <c r="K48">
        <f t="shared" si="5"/>
        <v>89.05</v>
      </c>
      <c r="L48">
        <f t="shared" si="6"/>
        <v>87.199999999999989</v>
      </c>
      <c r="N48">
        <v>14.8</v>
      </c>
      <c r="O48">
        <v>1.78</v>
      </c>
      <c r="P48">
        <f t="shared" si="7"/>
        <v>18.36</v>
      </c>
      <c r="Q48">
        <f t="shared" si="8"/>
        <v>16.580000000000002</v>
      </c>
      <c r="R48">
        <f t="shared" si="9"/>
        <v>13.020000000000001</v>
      </c>
      <c r="S48">
        <f t="shared" si="10"/>
        <v>11.24</v>
      </c>
      <c r="U48">
        <v>11.5</v>
      </c>
      <c r="V48">
        <v>7.4</v>
      </c>
      <c r="W48">
        <v>0.9</v>
      </c>
      <c r="X48">
        <f t="shared" si="16"/>
        <v>9.2000000000000011</v>
      </c>
      <c r="Y48">
        <f t="shared" si="17"/>
        <v>8.3000000000000007</v>
      </c>
      <c r="Z48">
        <f t="shared" si="18"/>
        <v>6.5</v>
      </c>
      <c r="AA48">
        <f t="shared" si="19"/>
        <v>5.6000000000000005</v>
      </c>
      <c r="AC48">
        <v>13.1</v>
      </c>
      <c r="AD48">
        <v>15.3</v>
      </c>
      <c r="AE48">
        <v>18.2</v>
      </c>
    </row>
    <row r="49" spans="1:31" x14ac:dyDescent="0.15">
      <c r="A49">
        <f t="shared" si="15"/>
        <v>3</v>
      </c>
      <c r="B49" s="2">
        <v>11</v>
      </c>
      <c r="C49" s="3">
        <f t="shared" si="0"/>
        <v>3.9166666666666665</v>
      </c>
      <c r="E49">
        <v>98.9</v>
      </c>
      <c r="F49">
        <v>3.8</v>
      </c>
      <c r="G49">
        <f t="shared" si="1"/>
        <v>106.5</v>
      </c>
      <c r="H49">
        <f t="shared" si="2"/>
        <v>102.7</v>
      </c>
      <c r="I49">
        <f t="shared" si="3"/>
        <v>95.100000000000009</v>
      </c>
      <c r="J49">
        <f t="shared" si="4"/>
        <v>91.300000000000011</v>
      </c>
      <c r="K49">
        <f t="shared" si="5"/>
        <v>89.4</v>
      </c>
      <c r="L49">
        <f t="shared" si="6"/>
        <v>87.5</v>
      </c>
      <c r="N49">
        <v>15</v>
      </c>
      <c r="O49">
        <v>1.9</v>
      </c>
      <c r="P49">
        <f t="shared" si="7"/>
        <v>18.8</v>
      </c>
      <c r="Q49">
        <f t="shared" si="8"/>
        <v>16.899999999999999</v>
      </c>
      <c r="R49">
        <f t="shared" si="9"/>
        <v>13.1</v>
      </c>
      <c r="S49">
        <f t="shared" si="10"/>
        <v>11.2</v>
      </c>
      <c r="U49">
        <v>11.75</v>
      </c>
      <c r="V49">
        <v>6.7</v>
      </c>
      <c r="W49">
        <v>0.8</v>
      </c>
      <c r="X49">
        <f t="shared" si="16"/>
        <v>8.3000000000000007</v>
      </c>
      <c r="Y49">
        <f t="shared" si="17"/>
        <v>7.5</v>
      </c>
      <c r="Z49">
        <f t="shared" si="18"/>
        <v>5.9</v>
      </c>
      <c r="AA49">
        <f t="shared" si="19"/>
        <v>5.0999999999999996</v>
      </c>
      <c r="AC49">
        <v>13.1</v>
      </c>
      <c r="AD49">
        <v>15.3</v>
      </c>
      <c r="AE49">
        <v>18.2</v>
      </c>
    </row>
    <row r="50" spans="1:31" x14ac:dyDescent="0.15">
      <c r="A50">
        <f t="shared" si="15"/>
        <v>4</v>
      </c>
      <c r="B50" s="2">
        <v>0</v>
      </c>
      <c r="C50" s="3">
        <f t="shared" si="0"/>
        <v>4</v>
      </c>
      <c r="E50">
        <v>99.5</v>
      </c>
      <c r="F50">
        <v>3.8</v>
      </c>
      <c r="G50">
        <f t="shared" si="1"/>
        <v>107.1</v>
      </c>
      <c r="H50">
        <f t="shared" si="2"/>
        <v>103.3</v>
      </c>
      <c r="I50">
        <f t="shared" si="3"/>
        <v>95.7</v>
      </c>
      <c r="J50">
        <f t="shared" si="4"/>
        <v>91.9</v>
      </c>
      <c r="K50">
        <f t="shared" si="5"/>
        <v>90</v>
      </c>
      <c r="L50">
        <f t="shared" si="6"/>
        <v>88.1</v>
      </c>
      <c r="N50">
        <v>15.2</v>
      </c>
      <c r="O50">
        <v>2.0099999999999998</v>
      </c>
      <c r="P50">
        <f t="shared" si="7"/>
        <v>19.22</v>
      </c>
      <c r="Q50">
        <f t="shared" si="8"/>
        <v>17.21</v>
      </c>
      <c r="R50">
        <f t="shared" si="9"/>
        <v>13.19</v>
      </c>
      <c r="S50">
        <f t="shared" si="10"/>
        <v>11.18</v>
      </c>
      <c r="U50">
        <v>12</v>
      </c>
      <c r="V50">
        <v>5.8</v>
      </c>
      <c r="W50">
        <v>0.8</v>
      </c>
      <c r="X50">
        <f t="shared" si="16"/>
        <v>7.4</v>
      </c>
      <c r="Y50">
        <f t="shared" si="17"/>
        <v>6.6</v>
      </c>
      <c r="Z50">
        <f t="shared" si="18"/>
        <v>5</v>
      </c>
      <c r="AA50">
        <f t="shared" si="19"/>
        <v>4.1999999999999993</v>
      </c>
      <c r="AC50">
        <v>13.1</v>
      </c>
      <c r="AD50">
        <v>15.3</v>
      </c>
      <c r="AE50">
        <v>18.3</v>
      </c>
    </row>
    <row r="51" spans="1:31" x14ac:dyDescent="0.15">
      <c r="A51">
        <f t="shared" si="15"/>
        <v>4</v>
      </c>
      <c r="B51" s="2">
        <v>1</v>
      </c>
      <c r="C51" s="3">
        <f t="shared" si="0"/>
        <v>4.083333333333333</v>
      </c>
      <c r="E51">
        <v>100</v>
      </c>
      <c r="F51">
        <v>3.8</v>
      </c>
      <c r="G51">
        <f t="shared" si="1"/>
        <v>107.6</v>
      </c>
      <c r="H51">
        <f t="shared" si="2"/>
        <v>103.8</v>
      </c>
      <c r="I51">
        <f t="shared" si="3"/>
        <v>96.2</v>
      </c>
      <c r="J51">
        <f t="shared" si="4"/>
        <v>92.4</v>
      </c>
      <c r="K51">
        <f t="shared" si="5"/>
        <v>90.5</v>
      </c>
      <c r="L51">
        <f t="shared" si="6"/>
        <v>88.6</v>
      </c>
      <c r="N51">
        <v>15.4</v>
      </c>
      <c r="O51">
        <v>2.12</v>
      </c>
      <c r="P51">
        <f t="shared" si="7"/>
        <v>19.64</v>
      </c>
      <c r="Q51">
        <f t="shared" si="8"/>
        <v>17.52</v>
      </c>
      <c r="R51">
        <f t="shared" si="9"/>
        <v>13.280000000000001</v>
      </c>
      <c r="S51">
        <f t="shared" si="10"/>
        <v>11.16</v>
      </c>
      <c r="U51">
        <v>12.25</v>
      </c>
      <c r="V51">
        <v>5</v>
      </c>
      <c r="W51">
        <v>0.9</v>
      </c>
      <c r="X51">
        <f t="shared" si="16"/>
        <v>6.8</v>
      </c>
      <c r="Y51">
        <f t="shared" si="17"/>
        <v>5.9</v>
      </c>
      <c r="Z51">
        <f t="shared" si="18"/>
        <v>4.0999999999999996</v>
      </c>
      <c r="AA51">
        <f t="shared" si="19"/>
        <v>3.2</v>
      </c>
      <c r="AC51">
        <v>13.1</v>
      </c>
      <c r="AD51">
        <v>15.3</v>
      </c>
      <c r="AE51">
        <v>18.3</v>
      </c>
    </row>
    <row r="52" spans="1:31" x14ac:dyDescent="0.15">
      <c r="A52">
        <f t="shared" si="15"/>
        <v>4</v>
      </c>
      <c r="B52" s="2">
        <v>2</v>
      </c>
      <c r="C52" s="3">
        <f t="shared" si="0"/>
        <v>4.166666666666667</v>
      </c>
      <c r="E52">
        <v>100.6</v>
      </c>
      <c r="F52">
        <v>3.9</v>
      </c>
      <c r="G52">
        <f t="shared" si="1"/>
        <v>108.39999999999999</v>
      </c>
      <c r="H52">
        <f t="shared" si="2"/>
        <v>104.5</v>
      </c>
      <c r="I52">
        <f t="shared" si="3"/>
        <v>96.699999999999989</v>
      </c>
      <c r="J52">
        <f t="shared" si="4"/>
        <v>92.8</v>
      </c>
      <c r="K52">
        <f t="shared" si="5"/>
        <v>90.85</v>
      </c>
      <c r="L52">
        <f t="shared" si="6"/>
        <v>88.899999999999991</v>
      </c>
      <c r="N52">
        <v>15.6</v>
      </c>
      <c r="O52">
        <v>2.2400000000000002</v>
      </c>
      <c r="P52">
        <f t="shared" si="7"/>
        <v>20.079999999999998</v>
      </c>
      <c r="Q52">
        <f t="shared" si="8"/>
        <v>17.84</v>
      </c>
      <c r="R52">
        <f t="shared" si="9"/>
        <v>13.36</v>
      </c>
      <c r="S52">
        <f t="shared" si="10"/>
        <v>11.12</v>
      </c>
      <c r="U52">
        <v>12.5</v>
      </c>
      <c r="V52">
        <v>4.2</v>
      </c>
      <c r="W52">
        <v>0.9</v>
      </c>
      <c r="X52">
        <f t="shared" si="16"/>
        <v>6</v>
      </c>
      <c r="Y52">
        <f t="shared" si="17"/>
        <v>5.1000000000000005</v>
      </c>
      <c r="Z52">
        <f t="shared" si="18"/>
        <v>3.3000000000000003</v>
      </c>
      <c r="AA52">
        <f t="shared" si="19"/>
        <v>2.4000000000000004</v>
      </c>
      <c r="AC52">
        <v>13.1</v>
      </c>
      <c r="AD52">
        <v>15.3</v>
      </c>
      <c r="AE52">
        <v>18.3</v>
      </c>
    </row>
    <row r="53" spans="1:31" x14ac:dyDescent="0.15">
      <c r="A53">
        <f t="shared" si="15"/>
        <v>4</v>
      </c>
      <c r="B53" s="2">
        <v>3</v>
      </c>
      <c r="C53" s="3">
        <f t="shared" si="0"/>
        <v>4.25</v>
      </c>
      <c r="E53">
        <v>101.2</v>
      </c>
      <c r="F53">
        <v>3.9</v>
      </c>
      <c r="G53">
        <f t="shared" si="1"/>
        <v>109</v>
      </c>
      <c r="H53">
        <f t="shared" si="2"/>
        <v>105.10000000000001</v>
      </c>
      <c r="I53">
        <f t="shared" si="3"/>
        <v>97.3</v>
      </c>
      <c r="J53">
        <f t="shared" si="4"/>
        <v>93.4</v>
      </c>
      <c r="K53">
        <f t="shared" si="5"/>
        <v>91.45</v>
      </c>
      <c r="L53">
        <f t="shared" si="6"/>
        <v>89.5</v>
      </c>
      <c r="N53">
        <v>15.8</v>
      </c>
      <c r="O53">
        <v>2.35</v>
      </c>
      <c r="P53">
        <f t="shared" si="7"/>
        <v>20.5</v>
      </c>
      <c r="Q53">
        <f t="shared" si="8"/>
        <v>18.150000000000002</v>
      </c>
      <c r="R53">
        <f t="shared" si="9"/>
        <v>13.450000000000001</v>
      </c>
      <c r="S53">
        <f t="shared" si="10"/>
        <v>11.100000000000001</v>
      </c>
      <c r="U53">
        <v>12.75</v>
      </c>
      <c r="V53">
        <v>3.5</v>
      </c>
      <c r="W53">
        <v>0.9</v>
      </c>
      <c r="X53">
        <f t="shared" si="16"/>
        <v>5.3</v>
      </c>
      <c r="Y53">
        <f t="shared" si="17"/>
        <v>4.4000000000000004</v>
      </c>
      <c r="Z53">
        <f t="shared" si="18"/>
        <v>2.6</v>
      </c>
      <c r="AA53">
        <f t="shared" si="19"/>
        <v>1.7</v>
      </c>
      <c r="AC53">
        <v>13.1</v>
      </c>
      <c r="AD53">
        <v>15.3</v>
      </c>
      <c r="AE53">
        <v>18.399999999999999</v>
      </c>
    </row>
    <row r="54" spans="1:31" x14ac:dyDescent="0.15">
      <c r="A54">
        <f t="shared" si="15"/>
        <v>4</v>
      </c>
      <c r="B54" s="2">
        <v>4</v>
      </c>
      <c r="C54" s="3">
        <f t="shared" si="0"/>
        <v>4.333333333333333</v>
      </c>
      <c r="E54">
        <v>101.7</v>
      </c>
      <c r="F54">
        <v>3.9</v>
      </c>
      <c r="G54">
        <f t="shared" si="1"/>
        <v>109.5</v>
      </c>
      <c r="H54">
        <f t="shared" si="2"/>
        <v>105.60000000000001</v>
      </c>
      <c r="I54">
        <f t="shared" si="3"/>
        <v>97.8</v>
      </c>
      <c r="J54">
        <f t="shared" si="4"/>
        <v>93.9</v>
      </c>
      <c r="K54">
        <f t="shared" si="5"/>
        <v>91.95</v>
      </c>
      <c r="L54">
        <f t="shared" si="6"/>
        <v>90</v>
      </c>
      <c r="N54">
        <v>15.9</v>
      </c>
      <c r="O54">
        <v>2.2999999999999998</v>
      </c>
      <c r="P54">
        <f t="shared" si="7"/>
        <v>20.5</v>
      </c>
      <c r="Q54">
        <f t="shared" si="8"/>
        <v>18.2</v>
      </c>
      <c r="R54">
        <f t="shared" si="9"/>
        <v>13.600000000000001</v>
      </c>
      <c r="S54">
        <f t="shared" si="10"/>
        <v>11.3</v>
      </c>
      <c r="U54">
        <v>13</v>
      </c>
      <c r="V54">
        <v>3</v>
      </c>
      <c r="W54">
        <v>0.9</v>
      </c>
      <c r="X54">
        <f t="shared" si="16"/>
        <v>4.8</v>
      </c>
      <c r="Y54">
        <f t="shared" si="17"/>
        <v>3.9</v>
      </c>
      <c r="Z54">
        <f t="shared" si="18"/>
        <v>2.1</v>
      </c>
      <c r="AA54">
        <f t="shared" si="19"/>
        <v>1.2</v>
      </c>
      <c r="AC54">
        <v>13.1</v>
      </c>
      <c r="AD54">
        <v>15.3</v>
      </c>
      <c r="AE54">
        <v>18.399999999999999</v>
      </c>
    </row>
    <row r="55" spans="1:31" x14ac:dyDescent="0.15">
      <c r="A55">
        <f t="shared" si="15"/>
        <v>4</v>
      </c>
      <c r="B55" s="2">
        <v>5</v>
      </c>
      <c r="C55" s="3">
        <f t="shared" si="0"/>
        <v>4.416666666666667</v>
      </c>
      <c r="E55">
        <v>102.3</v>
      </c>
      <c r="F55">
        <v>4</v>
      </c>
      <c r="G55">
        <f t="shared" si="1"/>
        <v>110.3</v>
      </c>
      <c r="H55">
        <f t="shared" si="2"/>
        <v>106.3</v>
      </c>
      <c r="I55">
        <f t="shared" si="3"/>
        <v>98.3</v>
      </c>
      <c r="J55">
        <f t="shared" si="4"/>
        <v>94.3</v>
      </c>
      <c r="K55">
        <f t="shared" si="5"/>
        <v>92.3</v>
      </c>
      <c r="L55">
        <f t="shared" si="6"/>
        <v>90.3</v>
      </c>
      <c r="N55">
        <v>16.100000000000001</v>
      </c>
      <c r="O55">
        <v>2.2400000000000002</v>
      </c>
      <c r="P55">
        <f t="shared" si="7"/>
        <v>20.580000000000002</v>
      </c>
      <c r="Q55">
        <f t="shared" si="8"/>
        <v>18.340000000000003</v>
      </c>
      <c r="R55">
        <f t="shared" si="9"/>
        <v>13.860000000000001</v>
      </c>
      <c r="S55">
        <f t="shared" si="10"/>
        <v>11.620000000000001</v>
      </c>
      <c r="U55">
        <v>13.25</v>
      </c>
      <c r="V55">
        <v>2.5</v>
      </c>
      <c r="W55">
        <v>0.8</v>
      </c>
      <c r="X55">
        <f t="shared" si="16"/>
        <v>4.0999999999999996</v>
      </c>
      <c r="Y55">
        <f t="shared" si="17"/>
        <v>3.3</v>
      </c>
      <c r="Z55">
        <f t="shared" si="18"/>
        <v>1.7</v>
      </c>
      <c r="AA55">
        <f t="shared" si="19"/>
        <v>0.89999999999999991</v>
      </c>
      <c r="AC55">
        <v>13.1</v>
      </c>
      <c r="AD55">
        <v>15.3</v>
      </c>
      <c r="AE55">
        <v>18.5</v>
      </c>
    </row>
    <row r="56" spans="1:31" x14ac:dyDescent="0.15">
      <c r="A56">
        <f t="shared" si="15"/>
        <v>4</v>
      </c>
      <c r="B56" s="2">
        <v>6</v>
      </c>
      <c r="C56" s="3">
        <f t="shared" si="0"/>
        <v>4.5</v>
      </c>
      <c r="E56">
        <v>102.8</v>
      </c>
      <c r="F56">
        <v>4</v>
      </c>
      <c r="G56">
        <f t="shared" si="1"/>
        <v>110.8</v>
      </c>
      <c r="H56">
        <f t="shared" si="2"/>
        <v>106.8</v>
      </c>
      <c r="I56">
        <f t="shared" si="3"/>
        <v>98.8</v>
      </c>
      <c r="J56">
        <f t="shared" si="4"/>
        <v>94.8</v>
      </c>
      <c r="K56">
        <f t="shared" si="5"/>
        <v>92.8</v>
      </c>
      <c r="L56">
        <f t="shared" si="6"/>
        <v>90.8</v>
      </c>
      <c r="N56">
        <v>16.3</v>
      </c>
      <c r="O56">
        <v>2.19</v>
      </c>
      <c r="P56">
        <f t="shared" si="7"/>
        <v>20.68</v>
      </c>
      <c r="Q56">
        <f t="shared" si="8"/>
        <v>18.490000000000002</v>
      </c>
      <c r="R56">
        <f t="shared" si="9"/>
        <v>14.110000000000001</v>
      </c>
      <c r="S56">
        <f t="shared" si="10"/>
        <v>11.920000000000002</v>
      </c>
      <c r="U56">
        <v>13.5</v>
      </c>
      <c r="V56">
        <v>2.2000000000000002</v>
      </c>
      <c r="W56">
        <v>0.7</v>
      </c>
      <c r="X56">
        <f t="shared" si="16"/>
        <v>3.6</v>
      </c>
      <c r="Y56">
        <f t="shared" si="17"/>
        <v>2.9000000000000004</v>
      </c>
      <c r="Z56">
        <f t="shared" si="18"/>
        <v>1.5000000000000002</v>
      </c>
      <c r="AA56">
        <f t="shared" si="19"/>
        <v>0.80000000000000027</v>
      </c>
      <c r="AC56">
        <v>13.1</v>
      </c>
      <c r="AD56">
        <v>15.3</v>
      </c>
      <c r="AE56">
        <v>18.5</v>
      </c>
    </row>
    <row r="57" spans="1:31" x14ac:dyDescent="0.15">
      <c r="A57">
        <f t="shared" si="15"/>
        <v>4</v>
      </c>
      <c r="B57" s="2">
        <v>7</v>
      </c>
      <c r="C57" s="3">
        <f t="shared" si="0"/>
        <v>4.583333333333333</v>
      </c>
      <c r="E57">
        <v>103.4</v>
      </c>
      <c r="F57">
        <v>4</v>
      </c>
      <c r="G57">
        <f t="shared" si="1"/>
        <v>111.4</v>
      </c>
      <c r="H57">
        <f t="shared" si="2"/>
        <v>107.4</v>
      </c>
      <c r="I57">
        <f t="shared" si="3"/>
        <v>99.4</v>
      </c>
      <c r="J57">
        <f t="shared" si="4"/>
        <v>95.4</v>
      </c>
      <c r="K57">
        <f t="shared" si="5"/>
        <v>93.4</v>
      </c>
      <c r="L57">
        <f t="shared" si="6"/>
        <v>91.4</v>
      </c>
      <c r="N57">
        <v>16.399999999999999</v>
      </c>
      <c r="O57">
        <v>2.14</v>
      </c>
      <c r="P57">
        <f t="shared" si="7"/>
        <v>20.68</v>
      </c>
      <c r="Q57">
        <f t="shared" si="8"/>
        <v>18.54</v>
      </c>
      <c r="R57">
        <f t="shared" si="9"/>
        <v>14.259999999999998</v>
      </c>
      <c r="S57">
        <f t="shared" si="10"/>
        <v>12.119999999999997</v>
      </c>
      <c r="U57">
        <v>13.75</v>
      </c>
      <c r="V57">
        <v>1.8</v>
      </c>
      <c r="W57">
        <v>0.7</v>
      </c>
      <c r="X57">
        <f t="shared" si="16"/>
        <v>3.2</v>
      </c>
      <c r="Y57">
        <f t="shared" si="17"/>
        <v>2.5</v>
      </c>
      <c r="Z57">
        <f t="shared" si="18"/>
        <v>1.1000000000000001</v>
      </c>
      <c r="AA57">
        <f t="shared" si="19"/>
        <v>0.40000000000000013</v>
      </c>
      <c r="AC57">
        <v>13.1</v>
      </c>
      <c r="AD57">
        <v>15.3</v>
      </c>
      <c r="AE57">
        <v>18.5</v>
      </c>
    </row>
    <row r="58" spans="1:31" x14ac:dyDescent="0.15">
      <c r="A58">
        <f t="shared" si="15"/>
        <v>4</v>
      </c>
      <c r="B58" s="2">
        <v>8</v>
      </c>
      <c r="C58" s="3">
        <f t="shared" si="0"/>
        <v>4.666666666666667</v>
      </c>
      <c r="E58">
        <v>103.9</v>
      </c>
      <c r="F58">
        <v>4.0999999999999996</v>
      </c>
      <c r="G58">
        <f t="shared" si="1"/>
        <v>112.10000000000001</v>
      </c>
      <c r="H58">
        <f t="shared" si="2"/>
        <v>108</v>
      </c>
      <c r="I58">
        <f t="shared" si="3"/>
        <v>99.800000000000011</v>
      </c>
      <c r="J58">
        <f t="shared" si="4"/>
        <v>95.7</v>
      </c>
      <c r="K58">
        <f t="shared" si="5"/>
        <v>93.65</v>
      </c>
      <c r="L58">
        <f t="shared" si="6"/>
        <v>91.600000000000009</v>
      </c>
      <c r="N58">
        <v>16.600000000000001</v>
      </c>
      <c r="O58">
        <v>2.08</v>
      </c>
      <c r="P58">
        <f t="shared" si="7"/>
        <v>20.76</v>
      </c>
      <c r="Q58">
        <f t="shared" si="8"/>
        <v>18.68</v>
      </c>
      <c r="R58">
        <f t="shared" si="9"/>
        <v>14.520000000000001</v>
      </c>
      <c r="S58">
        <f t="shared" si="10"/>
        <v>12.440000000000001</v>
      </c>
      <c r="U58">
        <v>14</v>
      </c>
      <c r="V58">
        <v>1.5</v>
      </c>
      <c r="W58">
        <v>0.6</v>
      </c>
      <c r="X58">
        <f t="shared" si="16"/>
        <v>2.7</v>
      </c>
      <c r="Y58">
        <f t="shared" si="17"/>
        <v>2.1</v>
      </c>
      <c r="Z58">
        <f t="shared" si="18"/>
        <v>0.9</v>
      </c>
      <c r="AA58">
        <f t="shared" si="19"/>
        <v>0.30000000000000004</v>
      </c>
      <c r="AC58">
        <v>13.1</v>
      </c>
      <c r="AD58">
        <v>15.3</v>
      </c>
      <c r="AE58">
        <v>18.600000000000001</v>
      </c>
    </row>
    <row r="59" spans="1:31" x14ac:dyDescent="0.15">
      <c r="A59">
        <f t="shared" si="15"/>
        <v>4</v>
      </c>
      <c r="B59" s="2">
        <v>9</v>
      </c>
      <c r="C59" s="3">
        <f t="shared" si="0"/>
        <v>4.75</v>
      </c>
      <c r="E59">
        <v>104.5</v>
      </c>
      <c r="F59">
        <v>4.0999999999999996</v>
      </c>
      <c r="G59">
        <f t="shared" si="1"/>
        <v>112.7</v>
      </c>
      <c r="H59">
        <f t="shared" si="2"/>
        <v>108.6</v>
      </c>
      <c r="I59">
        <f t="shared" si="3"/>
        <v>100.4</v>
      </c>
      <c r="J59">
        <f t="shared" si="4"/>
        <v>96.3</v>
      </c>
      <c r="K59">
        <f t="shared" si="5"/>
        <v>94.25</v>
      </c>
      <c r="L59">
        <f t="shared" si="6"/>
        <v>92.2</v>
      </c>
      <c r="N59">
        <v>16.8</v>
      </c>
      <c r="O59">
        <v>2.0299999999999998</v>
      </c>
      <c r="P59">
        <f t="shared" si="7"/>
        <v>20.86</v>
      </c>
      <c r="Q59">
        <f t="shared" si="8"/>
        <v>18.830000000000002</v>
      </c>
      <c r="R59">
        <f t="shared" si="9"/>
        <v>14.770000000000001</v>
      </c>
      <c r="S59">
        <f t="shared" si="10"/>
        <v>12.740000000000002</v>
      </c>
      <c r="U59">
        <v>14.25</v>
      </c>
      <c r="V59">
        <v>1.3</v>
      </c>
      <c r="W59">
        <v>0.6</v>
      </c>
      <c r="X59">
        <f t="shared" si="16"/>
        <v>2.5</v>
      </c>
      <c r="Y59">
        <f t="shared" si="17"/>
        <v>1.9</v>
      </c>
      <c r="Z59">
        <f t="shared" si="18"/>
        <v>0.70000000000000007</v>
      </c>
      <c r="AA59">
        <f t="shared" si="19"/>
        <v>0.10000000000000009</v>
      </c>
      <c r="AC59">
        <v>13.1</v>
      </c>
      <c r="AD59">
        <v>15.3</v>
      </c>
      <c r="AE59">
        <v>18.600000000000001</v>
      </c>
    </row>
    <row r="60" spans="1:31" x14ac:dyDescent="0.15">
      <c r="A60">
        <f t="shared" si="15"/>
        <v>4</v>
      </c>
      <c r="B60" s="2">
        <v>10</v>
      </c>
      <c r="C60" s="3">
        <f t="shared" si="0"/>
        <v>4.833333333333333</v>
      </c>
      <c r="E60">
        <v>105</v>
      </c>
      <c r="F60">
        <v>4.0999999999999996</v>
      </c>
      <c r="G60">
        <f t="shared" si="1"/>
        <v>113.2</v>
      </c>
      <c r="H60">
        <f t="shared" si="2"/>
        <v>109.1</v>
      </c>
      <c r="I60">
        <f t="shared" si="3"/>
        <v>100.9</v>
      </c>
      <c r="J60">
        <f t="shared" si="4"/>
        <v>96.8</v>
      </c>
      <c r="K60">
        <f t="shared" si="5"/>
        <v>94.75</v>
      </c>
      <c r="L60">
        <f t="shared" si="6"/>
        <v>92.7</v>
      </c>
      <c r="N60">
        <v>17</v>
      </c>
      <c r="O60">
        <v>2.12</v>
      </c>
      <c r="P60">
        <f t="shared" si="7"/>
        <v>21.240000000000002</v>
      </c>
      <c r="Q60">
        <f t="shared" si="8"/>
        <v>19.12</v>
      </c>
      <c r="R60">
        <f t="shared" si="9"/>
        <v>14.879999999999999</v>
      </c>
      <c r="S60">
        <f t="shared" si="10"/>
        <v>12.76</v>
      </c>
      <c r="U60">
        <v>14.5</v>
      </c>
      <c r="V60">
        <v>1.1000000000000001</v>
      </c>
      <c r="W60">
        <v>0.5</v>
      </c>
      <c r="X60">
        <f t="shared" si="16"/>
        <v>2.1</v>
      </c>
      <c r="Y60">
        <f t="shared" si="17"/>
        <v>1.6</v>
      </c>
      <c r="Z60">
        <f t="shared" si="18"/>
        <v>0.60000000000000009</v>
      </c>
      <c r="AA60">
        <f t="shared" si="19"/>
        <v>0.10000000000000009</v>
      </c>
      <c r="AC60">
        <v>13.1</v>
      </c>
      <c r="AD60">
        <v>15.3</v>
      </c>
      <c r="AE60">
        <v>18.7</v>
      </c>
    </row>
    <row r="61" spans="1:31" x14ac:dyDescent="0.15">
      <c r="A61">
        <f t="shared" si="15"/>
        <v>4</v>
      </c>
      <c r="B61" s="2">
        <v>11</v>
      </c>
      <c r="C61" s="3">
        <f t="shared" si="0"/>
        <v>4.916666666666667</v>
      </c>
      <c r="E61">
        <v>105.6</v>
      </c>
      <c r="F61">
        <v>4.2</v>
      </c>
      <c r="G61">
        <f t="shared" si="1"/>
        <v>114</v>
      </c>
      <c r="H61">
        <f t="shared" si="2"/>
        <v>109.8</v>
      </c>
      <c r="I61">
        <f t="shared" si="3"/>
        <v>101.39999999999999</v>
      </c>
      <c r="J61">
        <f t="shared" si="4"/>
        <v>97.199999999999989</v>
      </c>
      <c r="K61">
        <f t="shared" si="5"/>
        <v>95.1</v>
      </c>
      <c r="L61">
        <f t="shared" si="6"/>
        <v>93</v>
      </c>
      <c r="N61">
        <v>17.2</v>
      </c>
      <c r="O61">
        <v>2.2200000000000002</v>
      </c>
      <c r="P61">
        <f t="shared" si="7"/>
        <v>21.64</v>
      </c>
      <c r="Q61">
        <f t="shared" si="8"/>
        <v>19.419999999999998</v>
      </c>
      <c r="R61">
        <f t="shared" si="9"/>
        <v>14.979999999999999</v>
      </c>
      <c r="S61">
        <f t="shared" si="10"/>
        <v>12.759999999999998</v>
      </c>
      <c r="U61">
        <v>14.75</v>
      </c>
      <c r="V61">
        <v>0.9</v>
      </c>
      <c r="W61">
        <v>0.5</v>
      </c>
      <c r="X61">
        <f t="shared" si="16"/>
        <v>1.9</v>
      </c>
      <c r="Y61">
        <f t="shared" si="17"/>
        <v>1.4</v>
      </c>
      <c r="Z61">
        <f t="shared" si="18"/>
        <v>0.4</v>
      </c>
      <c r="AC61">
        <v>13.1</v>
      </c>
      <c r="AD61">
        <v>15.3</v>
      </c>
      <c r="AE61">
        <v>18.8</v>
      </c>
    </row>
    <row r="62" spans="1:31" x14ac:dyDescent="0.15">
      <c r="A62">
        <f t="shared" si="15"/>
        <v>5</v>
      </c>
      <c r="B62" s="2">
        <v>0</v>
      </c>
      <c r="C62" s="3">
        <f t="shared" si="0"/>
        <v>5</v>
      </c>
      <c r="E62">
        <v>106.2</v>
      </c>
      <c r="F62">
        <v>4.2</v>
      </c>
      <c r="G62">
        <f t="shared" si="1"/>
        <v>114.60000000000001</v>
      </c>
      <c r="H62">
        <f t="shared" si="2"/>
        <v>110.4</v>
      </c>
      <c r="I62">
        <f t="shared" si="3"/>
        <v>102</v>
      </c>
      <c r="J62">
        <f t="shared" si="4"/>
        <v>97.8</v>
      </c>
      <c r="K62">
        <f t="shared" si="5"/>
        <v>95.7</v>
      </c>
      <c r="L62">
        <f t="shared" si="6"/>
        <v>93.6</v>
      </c>
      <c r="N62">
        <v>17.399999999999999</v>
      </c>
      <c r="O62">
        <v>2.31</v>
      </c>
      <c r="P62">
        <f t="shared" si="7"/>
        <v>22.02</v>
      </c>
      <c r="Q62">
        <f t="shared" si="8"/>
        <v>19.709999999999997</v>
      </c>
      <c r="R62">
        <f t="shared" si="9"/>
        <v>15.089999999999998</v>
      </c>
      <c r="S62">
        <f t="shared" si="10"/>
        <v>12.779999999999998</v>
      </c>
      <c r="U62">
        <v>15</v>
      </c>
      <c r="V62">
        <v>0.8</v>
      </c>
      <c r="W62">
        <v>0.4</v>
      </c>
      <c r="X62">
        <f t="shared" si="16"/>
        <v>1.6</v>
      </c>
      <c r="Y62">
        <f t="shared" si="17"/>
        <v>1.2000000000000002</v>
      </c>
      <c r="Z62">
        <f t="shared" si="18"/>
        <v>0.4</v>
      </c>
      <c r="AC62">
        <v>13</v>
      </c>
      <c r="AD62">
        <v>15.3</v>
      </c>
      <c r="AE62">
        <v>18.8</v>
      </c>
    </row>
    <row r="63" spans="1:31" x14ac:dyDescent="0.15">
      <c r="A63">
        <f t="shared" si="15"/>
        <v>5</v>
      </c>
      <c r="B63" s="2">
        <v>1</v>
      </c>
      <c r="C63" s="3">
        <f t="shared" si="0"/>
        <v>5.083333333333333</v>
      </c>
      <c r="E63">
        <v>106.7</v>
      </c>
      <c r="F63">
        <v>4.3</v>
      </c>
      <c r="G63">
        <f t="shared" si="1"/>
        <v>115.3</v>
      </c>
      <c r="H63">
        <f t="shared" si="2"/>
        <v>111</v>
      </c>
      <c r="I63">
        <f t="shared" si="3"/>
        <v>102.4</v>
      </c>
      <c r="J63">
        <f t="shared" si="4"/>
        <v>98.100000000000009</v>
      </c>
      <c r="K63">
        <f t="shared" si="5"/>
        <v>95.95</v>
      </c>
      <c r="L63">
        <f t="shared" si="6"/>
        <v>93.800000000000011</v>
      </c>
      <c r="N63">
        <v>17.600000000000001</v>
      </c>
      <c r="O63">
        <v>2.4</v>
      </c>
      <c r="P63">
        <f t="shared" si="7"/>
        <v>22.400000000000002</v>
      </c>
      <c r="Q63">
        <f t="shared" si="8"/>
        <v>20</v>
      </c>
      <c r="R63">
        <f t="shared" si="9"/>
        <v>15.200000000000001</v>
      </c>
      <c r="S63">
        <f t="shared" si="10"/>
        <v>12.8</v>
      </c>
      <c r="U63">
        <v>15.25</v>
      </c>
      <c r="V63">
        <v>0.7</v>
      </c>
      <c r="W63">
        <v>0.4</v>
      </c>
      <c r="X63">
        <f t="shared" si="16"/>
        <v>1.5</v>
      </c>
      <c r="Y63">
        <f t="shared" si="17"/>
        <v>1.1000000000000001</v>
      </c>
      <c r="Z63">
        <f t="shared" si="18"/>
        <v>0.29999999999999993</v>
      </c>
      <c r="AC63">
        <v>13</v>
      </c>
      <c r="AD63">
        <v>15.3</v>
      </c>
      <c r="AE63">
        <v>18.899999999999999</v>
      </c>
    </row>
    <row r="64" spans="1:31" x14ac:dyDescent="0.15">
      <c r="A64">
        <f t="shared" si="15"/>
        <v>5</v>
      </c>
      <c r="B64" s="2">
        <v>2</v>
      </c>
      <c r="C64" s="3">
        <f t="shared" si="0"/>
        <v>5.166666666666667</v>
      </c>
      <c r="E64">
        <v>107.3</v>
      </c>
      <c r="F64">
        <v>4.3</v>
      </c>
      <c r="G64">
        <f t="shared" si="1"/>
        <v>115.89999999999999</v>
      </c>
      <c r="H64">
        <f t="shared" si="2"/>
        <v>111.6</v>
      </c>
      <c r="I64">
        <f t="shared" si="3"/>
        <v>103</v>
      </c>
      <c r="J64">
        <f t="shared" si="4"/>
        <v>98.7</v>
      </c>
      <c r="K64">
        <f t="shared" si="5"/>
        <v>96.55</v>
      </c>
      <c r="L64">
        <f t="shared" si="6"/>
        <v>94.4</v>
      </c>
      <c r="N64">
        <v>17.8</v>
      </c>
      <c r="O64">
        <v>2.5</v>
      </c>
      <c r="P64">
        <f t="shared" si="7"/>
        <v>22.8</v>
      </c>
      <c r="Q64">
        <f t="shared" si="8"/>
        <v>20.3</v>
      </c>
      <c r="R64">
        <f t="shared" si="9"/>
        <v>15.3</v>
      </c>
      <c r="S64">
        <f t="shared" si="10"/>
        <v>12.8</v>
      </c>
      <c r="U64">
        <v>15.5</v>
      </c>
      <c r="V64">
        <v>0.5</v>
      </c>
      <c r="W64">
        <v>0.4</v>
      </c>
      <c r="X64">
        <f t="shared" si="16"/>
        <v>1.3</v>
      </c>
      <c r="Y64">
        <f t="shared" si="17"/>
        <v>0.9</v>
      </c>
      <c r="Z64">
        <f t="shared" si="18"/>
        <v>9.9999999999999978E-2</v>
      </c>
      <c r="AC64">
        <v>13</v>
      </c>
      <c r="AD64">
        <v>15.3</v>
      </c>
      <c r="AE64">
        <v>18.899999999999999</v>
      </c>
    </row>
    <row r="65" spans="1:31" x14ac:dyDescent="0.15">
      <c r="A65">
        <f t="shared" si="15"/>
        <v>5</v>
      </c>
      <c r="B65" s="2">
        <v>3</v>
      </c>
      <c r="C65" s="3">
        <f t="shared" si="0"/>
        <v>5.25</v>
      </c>
      <c r="E65">
        <v>107.8</v>
      </c>
      <c r="F65">
        <v>4.3</v>
      </c>
      <c r="G65">
        <f t="shared" si="1"/>
        <v>116.39999999999999</v>
      </c>
      <c r="H65">
        <f t="shared" si="2"/>
        <v>112.1</v>
      </c>
      <c r="I65">
        <f t="shared" si="3"/>
        <v>103.5</v>
      </c>
      <c r="J65">
        <f t="shared" si="4"/>
        <v>99.2</v>
      </c>
      <c r="K65">
        <f t="shared" si="5"/>
        <v>97.05</v>
      </c>
      <c r="L65">
        <f t="shared" si="6"/>
        <v>94.9</v>
      </c>
      <c r="N65">
        <v>18</v>
      </c>
      <c r="O65">
        <v>2.59</v>
      </c>
      <c r="P65">
        <f t="shared" si="7"/>
        <v>23.18</v>
      </c>
      <c r="Q65">
        <f t="shared" si="8"/>
        <v>20.59</v>
      </c>
      <c r="R65">
        <f t="shared" si="9"/>
        <v>15.41</v>
      </c>
      <c r="S65">
        <f t="shared" si="10"/>
        <v>12.82</v>
      </c>
      <c r="U65">
        <v>15.75</v>
      </c>
      <c r="V65">
        <v>0.4</v>
      </c>
      <c r="W65">
        <v>0.4</v>
      </c>
      <c r="X65">
        <f t="shared" si="16"/>
        <v>1.2000000000000002</v>
      </c>
      <c r="Y65">
        <f t="shared" si="17"/>
        <v>0.8</v>
      </c>
      <c r="Z65">
        <f t="shared" si="18"/>
        <v>0</v>
      </c>
      <c r="AC65">
        <v>13</v>
      </c>
      <c r="AD65">
        <v>15.3</v>
      </c>
      <c r="AE65">
        <v>19</v>
      </c>
    </row>
    <row r="66" spans="1:31" x14ac:dyDescent="0.15">
      <c r="A66">
        <f t="shared" si="15"/>
        <v>5</v>
      </c>
      <c r="B66" s="2">
        <v>4</v>
      </c>
      <c r="C66" s="3">
        <f t="shared" ref="C66:C129" si="20">A66+B66/12</f>
        <v>5.333333333333333</v>
      </c>
      <c r="E66">
        <v>108.4</v>
      </c>
      <c r="F66">
        <v>4.4000000000000004</v>
      </c>
      <c r="G66">
        <f t="shared" ref="G66:G129" si="21">$E66+2*$F66</f>
        <v>117.2</v>
      </c>
      <c r="H66">
        <f t="shared" ref="H66:H129" si="22">$E66+$F66</f>
        <v>112.80000000000001</v>
      </c>
      <c r="I66">
        <f t="shared" ref="I66:I129" si="23">$E66-$F66</f>
        <v>104</v>
      </c>
      <c r="J66">
        <f t="shared" ref="J66:J129" si="24">$E66-2*$F66</f>
        <v>99.600000000000009</v>
      </c>
      <c r="K66">
        <f t="shared" ref="K66:K129" si="25">$E66-2.5*$F66</f>
        <v>97.4</v>
      </c>
      <c r="L66">
        <f t="shared" ref="L66:L129" si="26">$E66-3*$F66</f>
        <v>95.2</v>
      </c>
      <c r="N66">
        <v>18.100000000000001</v>
      </c>
      <c r="O66">
        <v>2.62</v>
      </c>
      <c r="P66">
        <f t="shared" ref="P66:P129" si="27">$N66+2*$O66</f>
        <v>23.340000000000003</v>
      </c>
      <c r="Q66">
        <f t="shared" ref="Q66:Q129" si="28">$N66+$O66</f>
        <v>20.720000000000002</v>
      </c>
      <c r="R66">
        <f t="shared" ref="R66:R129" si="29">$N66-$O66</f>
        <v>15.48</v>
      </c>
      <c r="S66">
        <f t="shared" ref="S66:S129" si="30">$N66-2*$O66</f>
        <v>12.860000000000001</v>
      </c>
      <c r="U66">
        <v>16</v>
      </c>
      <c r="V66">
        <v>0.4</v>
      </c>
      <c r="W66">
        <v>0.4</v>
      </c>
      <c r="X66">
        <f t="shared" si="16"/>
        <v>1.2000000000000002</v>
      </c>
      <c r="Y66">
        <f t="shared" si="17"/>
        <v>0.8</v>
      </c>
      <c r="Z66">
        <f t="shared" si="18"/>
        <v>0</v>
      </c>
      <c r="AC66">
        <v>13</v>
      </c>
      <c r="AD66">
        <v>15.3</v>
      </c>
      <c r="AE66">
        <v>19.100000000000001</v>
      </c>
    </row>
    <row r="67" spans="1:31" x14ac:dyDescent="0.15">
      <c r="A67">
        <f t="shared" si="15"/>
        <v>5</v>
      </c>
      <c r="B67" s="2">
        <v>5</v>
      </c>
      <c r="C67" s="3">
        <f t="shared" si="20"/>
        <v>5.416666666666667</v>
      </c>
      <c r="E67">
        <v>108.9</v>
      </c>
      <c r="F67">
        <v>4.4000000000000004</v>
      </c>
      <c r="G67">
        <f t="shared" si="21"/>
        <v>117.7</v>
      </c>
      <c r="H67">
        <f t="shared" si="22"/>
        <v>113.30000000000001</v>
      </c>
      <c r="I67">
        <f t="shared" si="23"/>
        <v>104.5</v>
      </c>
      <c r="J67">
        <f t="shared" si="24"/>
        <v>100.10000000000001</v>
      </c>
      <c r="K67">
        <f t="shared" si="25"/>
        <v>97.9</v>
      </c>
      <c r="L67">
        <f t="shared" si="26"/>
        <v>95.7</v>
      </c>
      <c r="N67">
        <v>18.2</v>
      </c>
      <c r="O67">
        <v>2.64</v>
      </c>
      <c r="P67">
        <f t="shared" si="27"/>
        <v>23.48</v>
      </c>
      <c r="Q67">
        <f t="shared" si="28"/>
        <v>20.84</v>
      </c>
      <c r="R67">
        <f t="shared" si="29"/>
        <v>15.559999999999999</v>
      </c>
      <c r="S67">
        <f t="shared" si="30"/>
        <v>12.919999999999998</v>
      </c>
      <c r="U67">
        <v>16.25</v>
      </c>
      <c r="V67">
        <v>0.3</v>
      </c>
      <c r="W67">
        <v>0.4</v>
      </c>
      <c r="X67">
        <f t="shared" si="16"/>
        <v>1.1000000000000001</v>
      </c>
      <c r="Y67">
        <f t="shared" si="17"/>
        <v>0.7</v>
      </c>
      <c r="AC67">
        <v>13</v>
      </c>
      <c r="AD67">
        <v>15.3</v>
      </c>
      <c r="AE67">
        <v>19.100000000000001</v>
      </c>
    </row>
    <row r="68" spans="1:31" x14ac:dyDescent="0.15">
      <c r="A68">
        <f t="shared" si="15"/>
        <v>5</v>
      </c>
      <c r="B68" s="2">
        <v>6</v>
      </c>
      <c r="C68" s="3">
        <f t="shared" si="20"/>
        <v>5.5</v>
      </c>
      <c r="E68">
        <v>109.5</v>
      </c>
      <c r="F68">
        <v>4.4000000000000004</v>
      </c>
      <c r="G68">
        <f t="shared" si="21"/>
        <v>118.3</v>
      </c>
      <c r="H68">
        <f t="shared" si="22"/>
        <v>113.9</v>
      </c>
      <c r="I68">
        <f t="shared" si="23"/>
        <v>105.1</v>
      </c>
      <c r="J68">
        <f t="shared" si="24"/>
        <v>100.7</v>
      </c>
      <c r="K68">
        <f t="shared" si="25"/>
        <v>98.5</v>
      </c>
      <c r="L68">
        <f t="shared" si="26"/>
        <v>96.3</v>
      </c>
      <c r="N68">
        <v>18.399999999999999</v>
      </c>
      <c r="O68">
        <v>2.67</v>
      </c>
      <c r="P68">
        <f t="shared" si="27"/>
        <v>23.74</v>
      </c>
      <c r="Q68">
        <f t="shared" si="28"/>
        <v>21.07</v>
      </c>
      <c r="R68">
        <f t="shared" si="29"/>
        <v>15.729999999999999</v>
      </c>
      <c r="S68">
        <f t="shared" si="30"/>
        <v>13.059999999999999</v>
      </c>
      <c r="U68">
        <v>16.5</v>
      </c>
      <c r="V68">
        <v>0.2</v>
      </c>
      <c r="W68">
        <v>0.3</v>
      </c>
      <c r="X68">
        <f t="shared" si="16"/>
        <v>0.8</v>
      </c>
      <c r="Y68">
        <f t="shared" si="17"/>
        <v>0.5</v>
      </c>
      <c r="AC68">
        <v>13</v>
      </c>
      <c r="AD68">
        <v>15.3</v>
      </c>
      <c r="AE68">
        <v>19.2</v>
      </c>
    </row>
    <row r="69" spans="1:31" x14ac:dyDescent="0.15">
      <c r="A69">
        <f t="shared" si="15"/>
        <v>5</v>
      </c>
      <c r="B69" s="2">
        <v>7</v>
      </c>
      <c r="C69" s="3">
        <f t="shared" si="20"/>
        <v>5.583333333333333</v>
      </c>
      <c r="E69">
        <v>110</v>
      </c>
      <c r="F69">
        <v>4.5</v>
      </c>
      <c r="G69">
        <f t="shared" si="21"/>
        <v>119</v>
      </c>
      <c r="H69">
        <f t="shared" si="22"/>
        <v>114.5</v>
      </c>
      <c r="I69">
        <f t="shared" si="23"/>
        <v>105.5</v>
      </c>
      <c r="J69">
        <f t="shared" si="24"/>
        <v>101</v>
      </c>
      <c r="K69">
        <f t="shared" si="25"/>
        <v>98.75</v>
      </c>
      <c r="L69">
        <f t="shared" si="26"/>
        <v>96.5</v>
      </c>
      <c r="N69">
        <v>18.5</v>
      </c>
      <c r="O69">
        <v>2.7</v>
      </c>
      <c r="P69">
        <f t="shared" si="27"/>
        <v>23.9</v>
      </c>
      <c r="Q69">
        <f t="shared" si="28"/>
        <v>21.2</v>
      </c>
      <c r="R69">
        <f t="shared" si="29"/>
        <v>15.8</v>
      </c>
      <c r="S69">
        <f t="shared" si="30"/>
        <v>13.1</v>
      </c>
      <c r="U69">
        <v>16.75</v>
      </c>
      <c r="V69">
        <v>0.2</v>
      </c>
      <c r="W69">
        <v>0.3</v>
      </c>
      <c r="X69">
        <f t="shared" si="16"/>
        <v>0.8</v>
      </c>
      <c r="Y69">
        <f t="shared" si="17"/>
        <v>0.5</v>
      </c>
      <c r="AC69">
        <v>13</v>
      </c>
      <c r="AD69">
        <v>15.3</v>
      </c>
      <c r="AE69">
        <v>19.3</v>
      </c>
    </row>
    <row r="70" spans="1:31" x14ac:dyDescent="0.15">
      <c r="A70">
        <f t="shared" ref="A70:A101" si="31">A58+1</f>
        <v>5</v>
      </c>
      <c r="B70" s="2">
        <v>8</v>
      </c>
      <c r="C70" s="3">
        <f t="shared" si="20"/>
        <v>5.666666666666667</v>
      </c>
      <c r="E70">
        <v>110.6</v>
      </c>
      <c r="F70">
        <v>4.5</v>
      </c>
      <c r="G70">
        <f t="shared" si="21"/>
        <v>119.6</v>
      </c>
      <c r="H70">
        <f t="shared" si="22"/>
        <v>115.1</v>
      </c>
      <c r="I70">
        <f t="shared" si="23"/>
        <v>106.1</v>
      </c>
      <c r="J70">
        <f t="shared" si="24"/>
        <v>101.6</v>
      </c>
      <c r="K70">
        <f t="shared" si="25"/>
        <v>99.35</v>
      </c>
      <c r="L70">
        <f t="shared" si="26"/>
        <v>97.1</v>
      </c>
      <c r="N70">
        <v>18.600000000000001</v>
      </c>
      <c r="O70">
        <v>2.72</v>
      </c>
      <c r="P70">
        <f t="shared" si="27"/>
        <v>24.040000000000003</v>
      </c>
      <c r="Q70">
        <f t="shared" si="28"/>
        <v>21.32</v>
      </c>
      <c r="R70">
        <f t="shared" si="29"/>
        <v>15.88</v>
      </c>
      <c r="S70">
        <f t="shared" si="30"/>
        <v>13.16</v>
      </c>
      <c r="U70">
        <v>17</v>
      </c>
      <c r="V70">
        <v>0.1</v>
      </c>
      <c r="W70">
        <v>0.2</v>
      </c>
      <c r="X70">
        <f t="shared" si="16"/>
        <v>0.5</v>
      </c>
      <c r="Y70">
        <f t="shared" si="17"/>
        <v>0.30000000000000004</v>
      </c>
      <c r="AC70">
        <v>13</v>
      </c>
      <c r="AD70">
        <v>15.4</v>
      </c>
      <c r="AE70">
        <v>19.399999999999999</v>
      </c>
    </row>
    <row r="71" spans="1:31" x14ac:dyDescent="0.15">
      <c r="A71">
        <f t="shared" si="31"/>
        <v>5</v>
      </c>
      <c r="B71" s="2">
        <v>9</v>
      </c>
      <c r="C71" s="3">
        <f t="shared" si="20"/>
        <v>5.75</v>
      </c>
      <c r="E71">
        <v>111.1</v>
      </c>
      <c r="F71">
        <v>4.5</v>
      </c>
      <c r="G71">
        <f t="shared" si="21"/>
        <v>120.1</v>
      </c>
      <c r="H71">
        <f t="shared" si="22"/>
        <v>115.6</v>
      </c>
      <c r="I71">
        <f t="shared" si="23"/>
        <v>106.6</v>
      </c>
      <c r="J71">
        <f t="shared" si="24"/>
        <v>102.1</v>
      </c>
      <c r="K71">
        <f t="shared" si="25"/>
        <v>99.85</v>
      </c>
      <c r="L71">
        <f t="shared" si="26"/>
        <v>97.6</v>
      </c>
      <c r="N71">
        <v>18.7</v>
      </c>
      <c r="O71">
        <v>2.75</v>
      </c>
      <c r="P71">
        <f t="shared" si="27"/>
        <v>24.2</v>
      </c>
      <c r="Q71">
        <f t="shared" si="28"/>
        <v>21.45</v>
      </c>
      <c r="R71">
        <f t="shared" si="29"/>
        <v>15.95</v>
      </c>
      <c r="S71">
        <f t="shared" si="30"/>
        <v>13.2</v>
      </c>
      <c r="U71">
        <v>17.25</v>
      </c>
      <c r="V71">
        <v>0.1</v>
      </c>
      <c r="W71">
        <v>0.2</v>
      </c>
      <c r="X71">
        <f t="shared" si="16"/>
        <v>0.5</v>
      </c>
      <c r="Y71">
        <f t="shared" si="17"/>
        <v>0.30000000000000004</v>
      </c>
      <c r="AC71">
        <v>13</v>
      </c>
      <c r="AD71">
        <v>15.4</v>
      </c>
      <c r="AE71">
        <v>19.399999999999999</v>
      </c>
    </row>
    <row r="72" spans="1:31" x14ac:dyDescent="0.15">
      <c r="A72">
        <f t="shared" si="31"/>
        <v>5</v>
      </c>
      <c r="B72" s="2">
        <v>10</v>
      </c>
      <c r="C72" s="3">
        <f t="shared" si="20"/>
        <v>5.833333333333333</v>
      </c>
      <c r="E72">
        <v>111.6</v>
      </c>
      <c r="F72">
        <v>4.5999999999999996</v>
      </c>
      <c r="G72">
        <f t="shared" si="21"/>
        <v>120.8</v>
      </c>
      <c r="H72">
        <f t="shared" si="22"/>
        <v>116.19999999999999</v>
      </c>
      <c r="I72">
        <f t="shared" si="23"/>
        <v>107</v>
      </c>
      <c r="J72">
        <f t="shared" si="24"/>
        <v>102.39999999999999</v>
      </c>
      <c r="K72">
        <f t="shared" si="25"/>
        <v>100.1</v>
      </c>
      <c r="L72">
        <f t="shared" si="26"/>
        <v>97.8</v>
      </c>
      <c r="N72">
        <v>19</v>
      </c>
      <c r="O72">
        <v>2.84</v>
      </c>
      <c r="P72">
        <f t="shared" si="27"/>
        <v>24.68</v>
      </c>
      <c r="Q72">
        <f t="shared" si="28"/>
        <v>21.84</v>
      </c>
      <c r="R72">
        <f t="shared" si="29"/>
        <v>16.16</v>
      </c>
      <c r="S72">
        <f t="shared" si="30"/>
        <v>13.32</v>
      </c>
      <c r="AC72">
        <v>13</v>
      </c>
      <c r="AD72">
        <v>15.4</v>
      </c>
      <c r="AE72">
        <v>19.5</v>
      </c>
    </row>
    <row r="73" spans="1:31" x14ac:dyDescent="0.15">
      <c r="A73">
        <f t="shared" si="31"/>
        <v>5</v>
      </c>
      <c r="B73" s="2">
        <v>11</v>
      </c>
      <c r="C73" s="3">
        <f t="shared" si="20"/>
        <v>5.916666666666667</v>
      </c>
      <c r="E73">
        <v>112.2</v>
      </c>
      <c r="F73">
        <v>4.5999999999999996</v>
      </c>
      <c r="G73">
        <f t="shared" si="21"/>
        <v>121.4</v>
      </c>
      <c r="H73">
        <f t="shared" si="22"/>
        <v>116.8</v>
      </c>
      <c r="I73">
        <f t="shared" si="23"/>
        <v>107.60000000000001</v>
      </c>
      <c r="J73">
        <f t="shared" si="24"/>
        <v>103</v>
      </c>
      <c r="K73">
        <f t="shared" si="25"/>
        <v>100.7</v>
      </c>
      <c r="L73">
        <f t="shared" si="26"/>
        <v>98.4</v>
      </c>
      <c r="N73">
        <v>19.3</v>
      </c>
      <c r="O73">
        <v>2.93</v>
      </c>
      <c r="P73">
        <f t="shared" si="27"/>
        <v>25.16</v>
      </c>
      <c r="Q73">
        <f t="shared" si="28"/>
        <v>22.23</v>
      </c>
      <c r="R73">
        <f t="shared" si="29"/>
        <v>16.37</v>
      </c>
      <c r="S73">
        <f t="shared" si="30"/>
        <v>13.440000000000001</v>
      </c>
      <c r="AC73">
        <v>13</v>
      </c>
      <c r="AD73">
        <v>15.4</v>
      </c>
      <c r="AE73">
        <v>19.600000000000001</v>
      </c>
    </row>
    <row r="74" spans="1:31" x14ac:dyDescent="0.15">
      <c r="A74">
        <f t="shared" si="31"/>
        <v>6</v>
      </c>
      <c r="B74" s="2">
        <v>0</v>
      </c>
      <c r="C74" s="3">
        <f t="shared" si="20"/>
        <v>6</v>
      </c>
      <c r="E74">
        <v>112.7</v>
      </c>
      <c r="F74">
        <v>4.5999999999999996</v>
      </c>
      <c r="G74">
        <f t="shared" si="21"/>
        <v>121.9</v>
      </c>
      <c r="H74">
        <f t="shared" si="22"/>
        <v>117.3</v>
      </c>
      <c r="I74">
        <f t="shared" si="23"/>
        <v>108.10000000000001</v>
      </c>
      <c r="J74">
        <f t="shared" si="24"/>
        <v>103.5</v>
      </c>
      <c r="K74">
        <f t="shared" si="25"/>
        <v>101.2</v>
      </c>
      <c r="L74">
        <f t="shared" si="26"/>
        <v>98.9</v>
      </c>
      <c r="N74">
        <v>19.600000000000001</v>
      </c>
      <c r="O74">
        <v>3.02</v>
      </c>
      <c r="P74">
        <f t="shared" si="27"/>
        <v>25.64</v>
      </c>
      <c r="Q74">
        <f t="shared" si="28"/>
        <v>22.62</v>
      </c>
      <c r="R74">
        <f t="shared" si="29"/>
        <v>16.580000000000002</v>
      </c>
      <c r="S74">
        <f t="shared" si="30"/>
        <v>13.560000000000002</v>
      </c>
      <c r="AC74">
        <v>13</v>
      </c>
      <c r="AD74">
        <v>15.4</v>
      </c>
      <c r="AE74">
        <v>19.7</v>
      </c>
    </row>
    <row r="75" spans="1:31" x14ac:dyDescent="0.15">
      <c r="A75">
        <f t="shared" si="31"/>
        <v>6</v>
      </c>
      <c r="B75" s="2">
        <v>1</v>
      </c>
      <c r="C75" s="3">
        <f t="shared" si="20"/>
        <v>6.083333333333333</v>
      </c>
      <c r="E75">
        <v>113.3</v>
      </c>
      <c r="F75">
        <v>4.7</v>
      </c>
      <c r="G75">
        <f t="shared" si="21"/>
        <v>122.7</v>
      </c>
      <c r="H75">
        <f t="shared" si="22"/>
        <v>118</v>
      </c>
      <c r="I75">
        <f t="shared" si="23"/>
        <v>108.6</v>
      </c>
      <c r="J75">
        <f t="shared" si="24"/>
        <v>103.89999999999999</v>
      </c>
      <c r="K75">
        <f t="shared" si="25"/>
        <v>101.55</v>
      </c>
      <c r="L75">
        <f t="shared" si="26"/>
        <v>99.199999999999989</v>
      </c>
      <c r="N75">
        <v>19.899999999999999</v>
      </c>
      <c r="O75">
        <v>3.11</v>
      </c>
      <c r="P75">
        <f t="shared" si="27"/>
        <v>26.119999999999997</v>
      </c>
      <c r="Q75">
        <f t="shared" si="28"/>
        <v>23.009999999999998</v>
      </c>
      <c r="R75">
        <f t="shared" si="29"/>
        <v>16.79</v>
      </c>
      <c r="S75">
        <f t="shared" si="30"/>
        <v>13.68</v>
      </c>
      <c r="AC75">
        <v>13</v>
      </c>
      <c r="AD75">
        <v>15.4</v>
      </c>
      <c r="AE75">
        <v>19.8</v>
      </c>
    </row>
    <row r="76" spans="1:31" x14ac:dyDescent="0.15">
      <c r="A76">
        <f t="shared" si="31"/>
        <v>6</v>
      </c>
      <c r="B76" s="2">
        <v>2</v>
      </c>
      <c r="C76" s="3">
        <f t="shared" si="20"/>
        <v>6.166666666666667</v>
      </c>
      <c r="E76">
        <v>113.8</v>
      </c>
      <c r="F76">
        <v>4.7</v>
      </c>
      <c r="G76">
        <f t="shared" si="21"/>
        <v>123.2</v>
      </c>
      <c r="H76">
        <f t="shared" si="22"/>
        <v>118.5</v>
      </c>
      <c r="I76">
        <f t="shared" si="23"/>
        <v>109.1</v>
      </c>
      <c r="J76">
        <f t="shared" si="24"/>
        <v>104.39999999999999</v>
      </c>
      <c r="K76">
        <f t="shared" si="25"/>
        <v>102.05</v>
      </c>
      <c r="L76">
        <f t="shared" si="26"/>
        <v>99.699999999999989</v>
      </c>
      <c r="N76">
        <v>20.2</v>
      </c>
      <c r="O76">
        <v>3.19</v>
      </c>
      <c r="P76">
        <f t="shared" si="27"/>
        <v>26.58</v>
      </c>
      <c r="Q76">
        <f t="shared" si="28"/>
        <v>23.39</v>
      </c>
      <c r="R76">
        <f t="shared" si="29"/>
        <v>17.009999999999998</v>
      </c>
      <c r="S76">
        <f t="shared" si="30"/>
        <v>13.82</v>
      </c>
      <c r="AC76">
        <v>13</v>
      </c>
      <c r="AD76">
        <v>15.4</v>
      </c>
      <c r="AE76">
        <v>19.899999999999999</v>
      </c>
    </row>
    <row r="77" spans="1:31" x14ac:dyDescent="0.15">
      <c r="A77">
        <f t="shared" si="31"/>
        <v>6</v>
      </c>
      <c r="B77" s="2">
        <v>3</v>
      </c>
      <c r="C77" s="3">
        <f t="shared" si="20"/>
        <v>6.25</v>
      </c>
      <c r="E77">
        <v>114.1</v>
      </c>
      <c r="F77">
        <v>4.5999999999999996</v>
      </c>
      <c r="G77">
        <f t="shared" si="21"/>
        <v>123.3</v>
      </c>
      <c r="H77">
        <f t="shared" si="22"/>
        <v>118.69999999999999</v>
      </c>
      <c r="I77">
        <f t="shared" si="23"/>
        <v>109.5</v>
      </c>
      <c r="J77">
        <f t="shared" si="24"/>
        <v>104.89999999999999</v>
      </c>
      <c r="K77">
        <f t="shared" si="25"/>
        <v>102.6</v>
      </c>
      <c r="L77">
        <f t="shared" si="26"/>
        <v>100.3</v>
      </c>
      <c r="N77">
        <v>20.399999999999999</v>
      </c>
      <c r="O77">
        <v>3.28</v>
      </c>
      <c r="P77">
        <f t="shared" si="27"/>
        <v>26.959999999999997</v>
      </c>
      <c r="Q77">
        <f t="shared" si="28"/>
        <v>23.68</v>
      </c>
      <c r="R77">
        <f t="shared" si="29"/>
        <v>17.119999999999997</v>
      </c>
      <c r="S77">
        <f t="shared" si="30"/>
        <v>13.84</v>
      </c>
      <c r="AC77">
        <v>13</v>
      </c>
      <c r="AD77">
        <v>15.4</v>
      </c>
      <c r="AE77">
        <v>19.899999999999999</v>
      </c>
    </row>
    <row r="78" spans="1:31" x14ac:dyDescent="0.15">
      <c r="A78">
        <f t="shared" si="31"/>
        <v>6</v>
      </c>
      <c r="B78" s="2">
        <v>4</v>
      </c>
      <c r="C78" s="3">
        <f t="shared" si="20"/>
        <v>6.333333333333333</v>
      </c>
      <c r="E78">
        <v>114.6</v>
      </c>
      <c r="F78">
        <v>4.7</v>
      </c>
      <c r="G78">
        <f t="shared" si="21"/>
        <v>124</v>
      </c>
      <c r="H78">
        <f t="shared" si="22"/>
        <v>119.3</v>
      </c>
      <c r="I78">
        <f t="shared" si="23"/>
        <v>109.89999999999999</v>
      </c>
      <c r="J78">
        <f t="shared" si="24"/>
        <v>105.19999999999999</v>
      </c>
      <c r="K78">
        <f t="shared" si="25"/>
        <v>102.85</v>
      </c>
      <c r="L78">
        <f t="shared" si="26"/>
        <v>100.5</v>
      </c>
      <c r="N78">
        <v>20.7</v>
      </c>
      <c r="O78">
        <v>3.37</v>
      </c>
      <c r="P78">
        <f t="shared" si="27"/>
        <v>27.439999999999998</v>
      </c>
      <c r="Q78">
        <f t="shared" si="28"/>
        <v>24.07</v>
      </c>
      <c r="R78">
        <f t="shared" si="29"/>
        <v>17.329999999999998</v>
      </c>
      <c r="S78">
        <f t="shared" si="30"/>
        <v>13.959999999999999</v>
      </c>
      <c r="AC78">
        <v>13</v>
      </c>
      <c r="AD78">
        <v>15.4</v>
      </c>
      <c r="AE78">
        <v>20</v>
      </c>
    </row>
    <row r="79" spans="1:31" x14ac:dyDescent="0.15">
      <c r="A79">
        <f t="shared" si="31"/>
        <v>6</v>
      </c>
      <c r="B79" s="2">
        <v>5</v>
      </c>
      <c r="C79" s="3">
        <f t="shared" si="20"/>
        <v>6.416666666666667</v>
      </c>
      <c r="E79">
        <v>115.2</v>
      </c>
      <c r="F79">
        <v>4.8</v>
      </c>
      <c r="G79">
        <f t="shared" si="21"/>
        <v>124.8</v>
      </c>
      <c r="H79">
        <f t="shared" si="22"/>
        <v>120</v>
      </c>
      <c r="I79">
        <f t="shared" si="23"/>
        <v>110.4</v>
      </c>
      <c r="J79">
        <f t="shared" si="24"/>
        <v>105.60000000000001</v>
      </c>
      <c r="K79">
        <f t="shared" si="25"/>
        <v>103.2</v>
      </c>
      <c r="L79">
        <f t="shared" si="26"/>
        <v>100.80000000000001</v>
      </c>
      <c r="N79">
        <v>21</v>
      </c>
      <c r="O79">
        <v>3.46</v>
      </c>
      <c r="P79">
        <f t="shared" si="27"/>
        <v>27.92</v>
      </c>
      <c r="Q79">
        <f t="shared" si="28"/>
        <v>24.46</v>
      </c>
      <c r="R79">
        <f t="shared" si="29"/>
        <v>17.54</v>
      </c>
      <c r="S79">
        <f t="shared" si="30"/>
        <v>14.08</v>
      </c>
      <c r="AC79">
        <v>13</v>
      </c>
      <c r="AD79">
        <v>15.5</v>
      </c>
      <c r="AE79">
        <v>20.100000000000001</v>
      </c>
    </row>
    <row r="80" spans="1:31" x14ac:dyDescent="0.15">
      <c r="A80">
        <f t="shared" si="31"/>
        <v>6</v>
      </c>
      <c r="B80" s="2">
        <v>6</v>
      </c>
      <c r="C80" s="3">
        <f t="shared" si="20"/>
        <v>6.5</v>
      </c>
      <c r="E80">
        <v>115.8</v>
      </c>
      <c r="F80">
        <v>4.9000000000000004</v>
      </c>
      <c r="G80">
        <f t="shared" si="21"/>
        <v>125.6</v>
      </c>
      <c r="H80">
        <f t="shared" si="22"/>
        <v>120.7</v>
      </c>
      <c r="I80">
        <f t="shared" si="23"/>
        <v>110.89999999999999</v>
      </c>
      <c r="J80">
        <f t="shared" si="24"/>
        <v>106</v>
      </c>
      <c r="K80">
        <f t="shared" si="25"/>
        <v>103.55</v>
      </c>
      <c r="L80">
        <f t="shared" si="26"/>
        <v>101.1</v>
      </c>
      <c r="N80">
        <v>21.3</v>
      </c>
      <c r="O80">
        <v>3.55</v>
      </c>
      <c r="P80">
        <f t="shared" si="27"/>
        <v>28.4</v>
      </c>
      <c r="Q80">
        <f t="shared" si="28"/>
        <v>24.85</v>
      </c>
      <c r="R80">
        <f t="shared" si="29"/>
        <v>17.75</v>
      </c>
      <c r="S80">
        <f t="shared" si="30"/>
        <v>14.200000000000001</v>
      </c>
      <c r="AC80">
        <v>13</v>
      </c>
      <c r="AD80">
        <v>15.5</v>
      </c>
      <c r="AE80">
        <v>20.2</v>
      </c>
    </row>
    <row r="81" spans="1:31" x14ac:dyDescent="0.15">
      <c r="A81">
        <f t="shared" si="31"/>
        <v>6</v>
      </c>
      <c r="B81" s="2">
        <v>7</v>
      </c>
      <c r="C81" s="3">
        <f t="shared" si="20"/>
        <v>6.583333333333333</v>
      </c>
      <c r="E81">
        <v>116.3</v>
      </c>
      <c r="F81">
        <v>4.9000000000000004</v>
      </c>
      <c r="G81">
        <f t="shared" si="21"/>
        <v>126.1</v>
      </c>
      <c r="H81">
        <f t="shared" si="22"/>
        <v>121.2</v>
      </c>
      <c r="I81">
        <f t="shared" si="23"/>
        <v>111.39999999999999</v>
      </c>
      <c r="J81">
        <f t="shared" si="24"/>
        <v>106.5</v>
      </c>
      <c r="K81">
        <f t="shared" si="25"/>
        <v>104.05</v>
      </c>
      <c r="L81">
        <f t="shared" si="26"/>
        <v>101.6</v>
      </c>
      <c r="N81">
        <v>21.5</v>
      </c>
      <c r="O81">
        <v>3.61</v>
      </c>
      <c r="P81">
        <f t="shared" si="27"/>
        <v>28.72</v>
      </c>
      <c r="Q81">
        <f t="shared" si="28"/>
        <v>25.11</v>
      </c>
      <c r="R81">
        <f t="shared" si="29"/>
        <v>17.89</v>
      </c>
      <c r="S81">
        <f t="shared" si="30"/>
        <v>14.280000000000001</v>
      </c>
      <c r="AC81">
        <v>13</v>
      </c>
      <c r="AD81">
        <v>15.5</v>
      </c>
      <c r="AE81">
        <v>20.3</v>
      </c>
    </row>
    <row r="82" spans="1:31" x14ac:dyDescent="0.15">
      <c r="A82">
        <f t="shared" si="31"/>
        <v>6</v>
      </c>
      <c r="B82" s="2">
        <v>8</v>
      </c>
      <c r="C82" s="3">
        <f t="shared" si="20"/>
        <v>6.666666666666667</v>
      </c>
      <c r="E82">
        <v>116.8</v>
      </c>
      <c r="F82">
        <v>4.9000000000000004</v>
      </c>
      <c r="G82">
        <f t="shared" si="21"/>
        <v>126.6</v>
      </c>
      <c r="H82">
        <f t="shared" si="22"/>
        <v>121.7</v>
      </c>
      <c r="I82">
        <f t="shared" si="23"/>
        <v>111.89999999999999</v>
      </c>
      <c r="J82">
        <f t="shared" si="24"/>
        <v>107</v>
      </c>
      <c r="K82">
        <f t="shared" si="25"/>
        <v>104.55</v>
      </c>
      <c r="L82">
        <f t="shared" si="26"/>
        <v>102.1</v>
      </c>
      <c r="N82">
        <v>21.7</v>
      </c>
      <c r="O82">
        <v>3.66</v>
      </c>
      <c r="P82">
        <f t="shared" si="27"/>
        <v>29.02</v>
      </c>
      <c r="Q82">
        <f t="shared" si="28"/>
        <v>25.36</v>
      </c>
      <c r="R82">
        <f t="shared" si="29"/>
        <v>18.04</v>
      </c>
      <c r="S82">
        <f t="shared" si="30"/>
        <v>14.379999999999999</v>
      </c>
      <c r="AC82">
        <v>13</v>
      </c>
      <c r="AD82">
        <v>15.5</v>
      </c>
      <c r="AE82">
        <v>20.399999999999999</v>
      </c>
    </row>
    <row r="83" spans="1:31" x14ac:dyDescent="0.15">
      <c r="A83">
        <f t="shared" si="31"/>
        <v>6</v>
      </c>
      <c r="B83" s="2">
        <v>9</v>
      </c>
      <c r="C83" s="3">
        <f t="shared" si="20"/>
        <v>6.75</v>
      </c>
      <c r="E83">
        <v>117.3</v>
      </c>
      <c r="F83">
        <v>4.9000000000000004</v>
      </c>
      <c r="G83">
        <f t="shared" si="21"/>
        <v>127.1</v>
      </c>
      <c r="H83">
        <f t="shared" si="22"/>
        <v>122.2</v>
      </c>
      <c r="I83">
        <f t="shared" si="23"/>
        <v>112.39999999999999</v>
      </c>
      <c r="J83">
        <f t="shared" si="24"/>
        <v>107.5</v>
      </c>
      <c r="K83">
        <f t="shared" si="25"/>
        <v>105.05</v>
      </c>
      <c r="L83">
        <f t="shared" si="26"/>
        <v>102.6</v>
      </c>
      <c r="N83">
        <v>21.9</v>
      </c>
      <c r="O83">
        <v>3.72</v>
      </c>
      <c r="P83">
        <f t="shared" si="27"/>
        <v>29.34</v>
      </c>
      <c r="Q83">
        <f t="shared" si="28"/>
        <v>25.619999999999997</v>
      </c>
      <c r="R83">
        <f t="shared" si="29"/>
        <v>18.18</v>
      </c>
      <c r="S83">
        <f t="shared" si="30"/>
        <v>14.459999999999997</v>
      </c>
      <c r="AC83">
        <v>13</v>
      </c>
      <c r="AD83">
        <v>15.5</v>
      </c>
      <c r="AE83">
        <v>20.5</v>
      </c>
    </row>
    <row r="84" spans="1:31" x14ac:dyDescent="0.15">
      <c r="A84">
        <f t="shared" si="31"/>
        <v>6</v>
      </c>
      <c r="B84" s="2">
        <v>10</v>
      </c>
      <c r="C84" s="3">
        <f t="shared" si="20"/>
        <v>6.833333333333333</v>
      </c>
      <c r="E84">
        <v>117.8</v>
      </c>
      <c r="F84">
        <v>5</v>
      </c>
      <c r="G84">
        <f t="shared" si="21"/>
        <v>127.8</v>
      </c>
      <c r="H84">
        <f t="shared" si="22"/>
        <v>122.8</v>
      </c>
      <c r="I84">
        <f t="shared" si="23"/>
        <v>112.8</v>
      </c>
      <c r="J84">
        <f t="shared" si="24"/>
        <v>107.8</v>
      </c>
      <c r="K84">
        <f t="shared" si="25"/>
        <v>105.3</v>
      </c>
      <c r="L84">
        <f t="shared" si="26"/>
        <v>102.8</v>
      </c>
      <c r="N84">
        <v>22.1</v>
      </c>
      <c r="O84">
        <v>3.77</v>
      </c>
      <c r="P84">
        <f t="shared" si="27"/>
        <v>29.64</v>
      </c>
      <c r="Q84">
        <f t="shared" si="28"/>
        <v>25.87</v>
      </c>
      <c r="R84">
        <f t="shared" si="29"/>
        <v>18.330000000000002</v>
      </c>
      <c r="S84">
        <f t="shared" si="30"/>
        <v>14.560000000000002</v>
      </c>
      <c r="AC84">
        <v>13</v>
      </c>
      <c r="AD84">
        <v>15.5</v>
      </c>
      <c r="AE84">
        <v>20.6</v>
      </c>
    </row>
    <row r="85" spans="1:31" x14ac:dyDescent="0.15">
      <c r="A85">
        <f t="shared" si="31"/>
        <v>6</v>
      </c>
      <c r="B85" s="2">
        <v>11</v>
      </c>
      <c r="C85" s="3">
        <f t="shared" si="20"/>
        <v>6.916666666666667</v>
      </c>
      <c r="E85">
        <v>118.3</v>
      </c>
      <c r="F85">
        <v>5</v>
      </c>
      <c r="G85">
        <f t="shared" si="21"/>
        <v>128.30000000000001</v>
      </c>
      <c r="H85">
        <f t="shared" si="22"/>
        <v>123.3</v>
      </c>
      <c r="I85">
        <f t="shared" si="23"/>
        <v>113.3</v>
      </c>
      <c r="J85">
        <f t="shared" si="24"/>
        <v>108.3</v>
      </c>
      <c r="K85">
        <f t="shared" si="25"/>
        <v>105.8</v>
      </c>
      <c r="L85">
        <f t="shared" si="26"/>
        <v>103.3</v>
      </c>
      <c r="N85">
        <v>22.3</v>
      </c>
      <c r="O85">
        <v>3.83</v>
      </c>
      <c r="P85">
        <f t="shared" si="27"/>
        <v>29.96</v>
      </c>
      <c r="Q85">
        <f t="shared" si="28"/>
        <v>26.130000000000003</v>
      </c>
      <c r="R85">
        <f t="shared" si="29"/>
        <v>18.47</v>
      </c>
      <c r="S85">
        <f t="shared" si="30"/>
        <v>14.64</v>
      </c>
      <c r="AC85">
        <v>13</v>
      </c>
      <c r="AD85">
        <v>15.5</v>
      </c>
      <c r="AE85">
        <v>20.7</v>
      </c>
    </row>
    <row r="86" spans="1:31" x14ac:dyDescent="0.15">
      <c r="A86">
        <f t="shared" si="31"/>
        <v>7</v>
      </c>
      <c r="B86" s="2">
        <v>0</v>
      </c>
      <c r="C86" s="3">
        <f t="shared" si="20"/>
        <v>7</v>
      </c>
      <c r="E86">
        <v>118.8</v>
      </c>
      <c r="F86">
        <v>5</v>
      </c>
      <c r="G86">
        <f t="shared" si="21"/>
        <v>128.80000000000001</v>
      </c>
      <c r="H86">
        <f t="shared" si="22"/>
        <v>123.8</v>
      </c>
      <c r="I86">
        <f t="shared" si="23"/>
        <v>113.8</v>
      </c>
      <c r="J86">
        <f t="shared" si="24"/>
        <v>108.8</v>
      </c>
      <c r="K86">
        <f t="shared" si="25"/>
        <v>106.3</v>
      </c>
      <c r="L86">
        <f t="shared" si="26"/>
        <v>103.8</v>
      </c>
      <c r="N86">
        <v>22.5</v>
      </c>
      <c r="O86">
        <v>3.89</v>
      </c>
      <c r="P86">
        <f t="shared" si="27"/>
        <v>30.28</v>
      </c>
      <c r="Q86">
        <f t="shared" si="28"/>
        <v>26.39</v>
      </c>
      <c r="R86">
        <f t="shared" si="29"/>
        <v>18.61</v>
      </c>
      <c r="S86">
        <f t="shared" si="30"/>
        <v>14.719999999999999</v>
      </c>
      <c r="AC86">
        <v>13</v>
      </c>
      <c r="AD86">
        <v>15.6</v>
      </c>
      <c r="AE86">
        <v>20.8</v>
      </c>
    </row>
    <row r="87" spans="1:31" x14ac:dyDescent="0.15">
      <c r="A87">
        <f t="shared" si="31"/>
        <v>7</v>
      </c>
      <c r="B87" s="2">
        <v>1</v>
      </c>
      <c r="C87" s="3">
        <f t="shared" si="20"/>
        <v>7.083333333333333</v>
      </c>
      <c r="E87">
        <v>119.2</v>
      </c>
      <c r="F87">
        <v>5</v>
      </c>
      <c r="G87">
        <f t="shared" si="21"/>
        <v>129.19999999999999</v>
      </c>
      <c r="H87">
        <f t="shared" si="22"/>
        <v>124.2</v>
      </c>
      <c r="I87">
        <f t="shared" si="23"/>
        <v>114.2</v>
      </c>
      <c r="J87">
        <f t="shared" si="24"/>
        <v>109.2</v>
      </c>
      <c r="K87">
        <f t="shared" si="25"/>
        <v>106.7</v>
      </c>
      <c r="L87">
        <f t="shared" si="26"/>
        <v>104.2</v>
      </c>
      <c r="N87">
        <v>22.8</v>
      </c>
      <c r="O87">
        <v>3.94</v>
      </c>
      <c r="P87">
        <f t="shared" si="27"/>
        <v>30.68</v>
      </c>
      <c r="Q87">
        <f t="shared" si="28"/>
        <v>26.740000000000002</v>
      </c>
      <c r="R87">
        <f t="shared" si="29"/>
        <v>18.86</v>
      </c>
      <c r="S87">
        <f t="shared" si="30"/>
        <v>14.920000000000002</v>
      </c>
      <c r="AC87">
        <v>13</v>
      </c>
      <c r="AD87">
        <v>15.6</v>
      </c>
      <c r="AE87">
        <v>20.9</v>
      </c>
    </row>
    <row r="88" spans="1:31" x14ac:dyDescent="0.15">
      <c r="A88">
        <f t="shared" si="31"/>
        <v>7</v>
      </c>
      <c r="B88" s="2">
        <v>2</v>
      </c>
      <c r="C88" s="3">
        <f t="shared" si="20"/>
        <v>7.166666666666667</v>
      </c>
      <c r="E88">
        <v>119.7</v>
      </c>
      <c r="F88">
        <v>5</v>
      </c>
      <c r="G88">
        <f t="shared" si="21"/>
        <v>129.69999999999999</v>
      </c>
      <c r="H88">
        <f t="shared" si="22"/>
        <v>124.7</v>
      </c>
      <c r="I88">
        <f t="shared" si="23"/>
        <v>114.7</v>
      </c>
      <c r="J88">
        <f t="shared" si="24"/>
        <v>109.7</v>
      </c>
      <c r="K88">
        <f t="shared" si="25"/>
        <v>107.2</v>
      </c>
      <c r="L88">
        <f t="shared" si="26"/>
        <v>104.7</v>
      </c>
      <c r="N88">
        <v>23</v>
      </c>
      <c r="O88">
        <v>4</v>
      </c>
      <c r="P88">
        <f t="shared" si="27"/>
        <v>31</v>
      </c>
      <c r="Q88">
        <f t="shared" si="28"/>
        <v>27</v>
      </c>
      <c r="R88">
        <f t="shared" si="29"/>
        <v>19</v>
      </c>
      <c r="S88">
        <f t="shared" si="30"/>
        <v>15</v>
      </c>
      <c r="AC88">
        <v>13</v>
      </c>
      <c r="AD88">
        <v>15.6</v>
      </c>
      <c r="AE88">
        <v>21</v>
      </c>
    </row>
    <row r="89" spans="1:31" x14ac:dyDescent="0.15">
      <c r="A89">
        <f t="shared" si="31"/>
        <v>7</v>
      </c>
      <c r="B89" s="2">
        <v>3</v>
      </c>
      <c r="C89" s="3">
        <f t="shared" si="20"/>
        <v>7.25</v>
      </c>
      <c r="E89">
        <v>120.2</v>
      </c>
      <c r="F89">
        <v>5.0999999999999996</v>
      </c>
      <c r="G89">
        <f t="shared" si="21"/>
        <v>130.4</v>
      </c>
      <c r="H89">
        <f t="shared" si="22"/>
        <v>125.3</v>
      </c>
      <c r="I89">
        <f t="shared" si="23"/>
        <v>115.10000000000001</v>
      </c>
      <c r="J89">
        <f t="shared" si="24"/>
        <v>110</v>
      </c>
      <c r="K89">
        <f t="shared" si="25"/>
        <v>107.45</v>
      </c>
      <c r="L89">
        <f t="shared" si="26"/>
        <v>104.9</v>
      </c>
      <c r="N89">
        <v>23.2</v>
      </c>
      <c r="O89">
        <v>4.05</v>
      </c>
      <c r="P89">
        <f t="shared" si="27"/>
        <v>31.299999999999997</v>
      </c>
      <c r="Q89">
        <f t="shared" si="28"/>
        <v>27.25</v>
      </c>
      <c r="R89">
        <f t="shared" si="29"/>
        <v>19.149999999999999</v>
      </c>
      <c r="S89">
        <f t="shared" si="30"/>
        <v>15.1</v>
      </c>
      <c r="AC89">
        <v>13</v>
      </c>
      <c r="AD89">
        <v>15.6</v>
      </c>
      <c r="AE89">
        <v>21</v>
      </c>
    </row>
    <row r="90" spans="1:31" x14ac:dyDescent="0.15">
      <c r="A90">
        <f t="shared" si="31"/>
        <v>7</v>
      </c>
      <c r="B90" s="2">
        <v>4</v>
      </c>
      <c r="C90" s="3">
        <f t="shared" si="20"/>
        <v>7.333333333333333</v>
      </c>
      <c r="E90">
        <v>120.7</v>
      </c>
      <c r="F90">
        <v>5.0999999999999996</v>
      </c>
      <c r="G90">
        <f t="shared" si="21"/>
        <v>130.9</v>
      </c>
      <c r="H90">
        <f t="shared" si="22"/>
        <v>125.8</v>
      </c>
      <c r="I90">
        <f t="shared" si="23"/>
        <v>115.60000000000001</v>
      </c>
      <c r="J90">
        <f t="shared" si="24"/>
        <v>110.5</v>
      </c>
      <c r="K90">
        <f t="shared" si="25"/>
        <v>107.95</v>
      </c>
      <c r="L90">
        <f t="shared" si="26"/>
        <v>105.4</v>
      </c>
      <c r="N90">
        <v>23.4</v>
      </c>
      <c r="O90">
        <v>4.1100000000000003</v>
      </c>
      <c r="P90">
        <f t="shared" si="27"/>
        <v>31.619999999999997</v>
      </c>
      <c r="Q90">
        <f t="shared" si="28"/>
        <v>27.509999999999998</v>
      </c>
      <c r="R90">
        <f t="shared" si="29"/>
        <v>19.29</v>
      </c>
      <c r="S90">
        <f t="shared" si="30"/>
        <v>15.179999999999998</v>
      </c>
      <c r="AC90">
        <v>13</v>
      </c>
      <c r="AD90">
        <v>15.6</v>
      </c>
      <c r="AE90">
        <v>21.1</v>
      </c>
    </row>
    <row r="91" spans="1:31" x14ac:dyDescent="0.15">
      <c r="A91">
        <f t="shared" si="31"/>
        <v>7</v>
      </c>
      <c r="B91" s="2">
        <v>5</v>
      </c>
      <c r="C91" s="3">
        <f t="shared" si="20"/>
        <v>7.416666666666667</v>
      </c>
      <c r="E91">
        <v>121.2</v>
      </c>
      <c r="F91">
        <v>5.0999999999999996</v>
      </c>
      <c r="G91">
        <f t="shared" si="21"/>
        <v>131.4</v>
      </c>
      <c r="H91">
        <f t="shared" si="22"/>
        <v>126.3</v>
      </c>
      <c r="I91">
        <f t="shared" si="23"/>
        <v>116.10000000000001</v>
      </c>
      <c r="J91">
        <f t="shared" si="24"/>
        <v>111</v>
      </c>
      <c r="K91">
        <f t="shared" si="25"/>
        <v>108.45</v>
      </c>
      <c r="L91">
        <f t="shared" si="26"/>
        <v>105.9</v>
      </c>
      <c r="N91">
        <v>23.6</v>
      </c>
      <c r="O91">
        <v>4.16</v>
      </c>
      <c r="P91">
        <f t="shared" si="27"/>
        <v>31.92</v>
      </c>
      <c r="Q91">
        <f t="shared" si="28"/>
        <v>27.76</v>
      </c>
      <c r="R91">
        <f t="shared" si="29"/>
        <v>19.440000000000001</v>
      </c>
      <c r="S91">
        <f t="shared" si="30"/>
        <v>15.280000000000001</v>
      </c>
      <c r="AC91">
        <v>13.1</v>
      </c>
      <c r="AD91">
        <v>15.7</v>
      </c>
      <c r="AE91">
        <v>21.2</v>
      </c>
    </row>
    <row r="92" spans="1:31" x14ac:dyDescent="0.15">
      <c r="A92">
        <f t="shared" si="31"/>
        <v>7</v>
      </c>
      <c r="B92" s="2">
        <v>6</v>
      </c>
      <c r="C92" s="3">
        <f t="shared" si="20"/>
        <v>7.5</v>
      </c>
      <c r="E92">
        <v>121.7</v>
      </c>
      <c r="F92">
        <v>5.0999999999999996</v>
      </c>
      <c r="G92">
        <f t="shared" si="21"/>
        <v>131.9</v>
      </c>
      <c r="H92">
        <f t="shared" si="22"/>
        <v>126.8</v>
      </c>
      <c r="I92">
        <f t="shared" si="23"/>
        <v>116.60000000000001</v>
      </c>
      <c r="J92">
        <f t="shared" si="24"/>
        <v>111.5</v>
      </c>
      <c r="K92">
        <f t="shared" si="25"/>
        <v>108.95</v>
      </c>
      <c r="L92">
        <f t="shared" si="26"/>
        <v>106.4</v>
      </c>
      <c r="N92">
        <v>23.8</v>
      </c>
      <c r="O92">
        <v>4.22</v>
      </c>
      <c r="P92">
        <f t="shared" si="27"/>
        <v>32.24</v>
      </c>
      <c r="Q92">
        <f t="shared" si="28"/>
        <v>28.02</v>
      </c>
      <c r="R92">
        <f t="shared" si="29"/>
        <v>19.580000000000002</v>
      </c>
      <c r="S92">
        <f t="shared" si="30"/>
        <v>15.360000000000001</v>
      </c>
      <c r="AC92">
        <v>13.1</v>
      </c>
      <c r="AD92">
        <v>15.7</v>
      </c>
      <c r="AE92">
        <v>21.3</v>
      </c>
    </row>
    <row r="93" spans="1:31" x14ac:dyDescent="0.15">
      <c r="A93">
        <f t="shared" si="31"/>
        <v>7</v>
      </c>
      <c r="B93" s="2">
        <v>7</v>
      </c>
      <c r="C93" s="3">
        <f t="shared" si="20"/>
        <v>7.583333333333333</v>
      </c>
      <c r="E93">
        <v>122.2</v>
      </c>
      <c r="F93">
        <v>5.2</v>
      </c>
      <c r="G93">
        <f t="shared" si="21"/>
        <v>132.6</v>
      </c>
      <c r="H93">
        <f t="shared" si="22"/>
        <v>127.4</v>
      </c>
      <c r="I93">
        <f t="shared" si="23"/>
        <v>117</v>
      </c>
      <c r="J93">
        <f t="shared" si="24"/>
        <v>111.8</v>
      </c>
      <c r="K93">
        <f t="shared" si="25"/>
        <v>109.2</v>
      </c>
      <c r="L93">
        <f t="shared" si="26"/>
        <v>106.6</v>
      </c>
      <c r="N93">
        <v>24.1</v>
      </c>
      <c r="O93">
        <v>4.3099999999999996</v>
      </c>
      <c r="P93">
        <f t="shared" si="27"/>
        <v>32.72</v>
      </c>
      <c r="Q93">
        <f t="shared" si="28"/>
        <v>28.41</v>
      </c>
      <c r="R93">
        <f t="shared" si="29"/>
        <v>19.790000000000003</v>
      </c>
      <c r="S93">
        <f t="shared" si="30"/>
        <v>15.480000000000002</v>
      </c>
      <c r="AC93">
        <v>13.1</v>
      </c>
      <c r="AD93">
        <v>15.7</v>
      </c>
      <c r="AE93">
        <v>21.4</v>
      </c>
    </row>
    <row r="94" spans="1:31" x14ac:dyDescent="0.15">
      <c r="A94">
        <f t="shared" si="31"/>
        <v>7</v>
      </c>
      <c r="B94" s="2">
        <v>8</v>
      </c>
      <c r="C94" s="3">
        <f t="shared" si="20"/>
        <v>7.666666666666667</v>
      </c>
      <c r="E94">
        <v>122.7</v>
      </c>
      <c r="F94">
        <v>5.2</v>
      </c>
      <c r="G94">
        <f t="shared" si="21"/>
        <v>133.1</v>
      </c>
      <c r="H94">
        <f t="shared" si="22"/>
        <v>127.9</v>
      </c>
      <c r="I94">
        <f t="shared" si="23"/>
        <v>117.5</v>
      </c>
      <c r="J94">
        <f t="shared" si="24"/>
        <v>112.3</v>
      </c>
      <c r="K94">
        <f t="shared" si="25"/>
        <v>109.7</v>
      </c>
      <c r="L94">
        <f t="shared" si="26"/>
        <v>107.1</v>
      </c>
      <c r="N94">
        <v>24.3</v>
      </c>
      <c r="O94">
        <v>4.3899999999999997</v>
      </c>
      <c r="P94">
        <f t="shared" si="27"/>
        <v>33.08</v>
      </c>
      <c r="Q94">
        <f t="shared" si="28"/>
        <v>28.69</v>
      </c>
      <c r="R94">
        <f t="shared" si="29"/>
        <v>19.91</v>
      </c>
      <c r="S94">
        <f t="shared" si="30"/>
        <v>15.520000000000001</v>
      </c>
      <c r="AC94">
        <v>13.1</v>
      </c>
      <c r="AD94">
        <v>15.7</v>
      </c>
      <c r="AE94">
        <v>21.5</v>
      </c>
    </row>
    <row r="95" spans="1:31" x14ac:dyDescent="0.15">
      <c r="A95">
        <f t="shared" si="31"/>
        <v>7</v>
      </c>
      <c r="B95" s="2">
        <v>9</v>
      </c>
      <c r="C95" s="3">
        <f t="shared" si="20"/>
        <v>7.75</v>
      </c>
      <c r="E95">
        <v>123.2</v>
      </c>
      <c r="F95">
        <v>5.2</v>
      </c>
      <c r="G95">
        <f t="shared" si="21"/>
        <v>133.6</v>
      </c>
      <c r="H95">
        <f t="shared" si="22"/>
        <v>128.4</v>
      </c>
      <c r="I95">
        <f t="shared" si="23"/>
        <v>118</v>
      </c>
      <c r="J95">
        <f t="shared" si="24"/>
        <v>112.8</v>
      </c>
      <c r="K95">
        <f t="shared" si="25"/>
        <v>110.2</v>
      </c>
      <c r="L95">
        <f t="shared" si="26"/>
        <v>107.6</v>
      </c>
      <c r="N95">
        <v>24.6</v>
      </c>
      <c r="O95">
        <v>4.4800000000000004</v>
      </c>
      <c r="P95">
        <f t="shared" si="27"/>
        <v>33.56</v>
      </c>
      <c r="Q95">
        <f t="shared" si="28"/>
        <v>29.080000000000002</v>
      </c>
      <c r="R95">
        <f t="shared" si="29"/>
        <v>20.12</v>
      </c>
      <c r="S95">
        <f t="shared" si="30"/>
        <v>15.64</v>
      </c>
      <c r="AC95">
        <v>13.1</v>
      </c>
      <c r="AD95">
        <v>15.7</v>
      </c>
      <c r="AE95">
        <v>21.6</v>
      </c>
    </row>
    <row r="96" spans="1:31" x14ac:dyDescent="0.15">
      <c r="A96">
        <f t="shared" si="31"/>
        <v>7</v>
      </c>
      <c r="B96" s="2">
        <v>10</v>
      </c>
      <c r="C96" s="3">
        <f t="shared" si="20"/>
        <v>7.833333333333333</v>
      </c>
      <c r="E96">
        <v>123.6</v>
      </c>
      <c r="F96">
        <v>5.3</v>
      </c>
      <c r="G96">
        <f t="shared" si="21"/>
        <v>134.19999999999999</v>
      </c>
      <c r="H96">
        <f t="shared" si="22"/>
        <v>128.9</v>
      </c>
      <c r="I96">
        <f t="shared" si="23"/>
        <v>118.3</v>
      </c>
      <c r="J96">
        <f t="shared" si="24"/>
        <v>113</v>
      </c>
      <c r="K96">
        <f t="shared" si="25"/>
        <v>110.35</v>
      </c>
      <c r="L96">
        <f t="shared" si="26"/>
        <v>107.69999999999999</v>
      </c>
      <c r="N96">
        <v>24.9</v>
      </c>
      <c r="O96">
        <v>4.57</v>
      </c>
      <c r="P96">
        <f t="shared" si="27"/>
        <v>34.04</v>
      </c>
      <c r="Q96">
        <f t="shared" si="28"/>
        <v>29.47</v>
      </c>
      <c r="R96">
        <f t="shared" si="29"/>
        <v>20.329999999999998</v>
      </c>
      <c r="S96">
        <f t="shared" si="30"/>
        <v>15.759999999999998</v>
      </c>
      <c r="AC96">
        <v>13.1</v>
      </c>
      <c r="AD96">
        <v>15.8</v>
      </c>
      <c r="AE96">
        <v>21.7</v>
      </c>
    </row>
    <row r="97" spans="1:31" x14ac:dyDescent="0.15">
      <c r="A97">
        <f t="shared" si="31"/>
        <v>7</v>
      </c>
      <c r="B97" s="2">
        <v>11</v>
      </c>
      <c r="C97" s="3">
        <f t="shared" si="20"/>
        <v>7.916666666666667</v>
      </c>
      <c r="E97">
        <v>124.1</v>
      </c>
      <c r="F97">
        <v>5.3</v>
      </c>
      <c r="G97">
        <f t="shared" si="21"/>
        <v>134.69999999999999</v>
      </c>
      <c r="H97">
        <f t="shared" si="22"/>
        <v>129.4</v>
      </c>
      <c r="I97">
        <f t="shared" si="23"/>
        <v>118.8</v>
      </c>
      <c r="J97">
        <f t="shared" si="24"/>
        <v>113.5</v>
      </c>
      <c r="K97">
        <f t="shared" si="25"/>
        <v>110.85</v>
      </c>
      <c r="L97">
        <f t="shared" si="26"/>
        <v>108.19999999999999</v>
      </c>
      <c r="N97">
        <v>25.1</v>
      </c>
      <c r="O97">
        <v>4.6500000000000004</v>
      </c>
      <c r="P97">
        <f t="shared" si="27"/>
        <v>34.400000000000006</v>
      </c>
      <c r="Q97">
        <f t="shared" si="28"/>
        <v>29.75</v>
      </c>
      <c r="R97">
        <f t="shared" si="29"/>
        <v>20.450000000000003</v>
      </c>
      <c r="S97">
        <f t="shared" si="30"/>
        <v>15.8</v>
      </c>
      <c r="AC97">
        <v>13.1</v>
      </c>
      <c r="AD97">
        <v>15.8</v>
      </c>
      <c r="AE97">
        <v>21.8</v>
      </c>
    </row>
    <row r="98" spans="1:31" x14ac:dyDescent="0.15">
      <c r="A98">
        <f t="shared" si="31"/>
        <v>8</v>
      </c>
      <c r="B98" s="2">
        <v>0</v>
      </c>
      <c r="C98" s="3">
        <f t="shared" si="20"/>
        <v>8</v>
      </c>
      <c r="E98">
        <v>124.6</v>
      </c>
      <c r="F98">
        <v>5.4</v>
      </c>
      <c r="G98">
        <f t="shared" si="21"/>
        <v>135.4</v>
      </c>
      <c r="H98">
        <f t="shared" si="22"/>
        <v>130</v>
      </c>
      <c r="I98">
        <f t="shared" si="23"/>
        <v>119.19999999999999</v>
      </c>
      <c r="J98">
        <f t="shared" si="24"/>
        <v>113.8</v>
      </c>
      <c r="K98">
        <f t="shared" si="25"/>
        <v>111.1</v>
      </c>
      <c r="L98">
        <f t="shared" si="26"/>
        <v>108.39999999999999</v>
      </c>
      <c r="N98">
        <v>25.4</v>
      </c>
      <c r="O98">
        <v>4.74</v>
      </c>
      <c r="P98">
        <f t="shared" si="27"/>
        <v>34.879999999999995</v>
      </c>
      <c r="Q98">
        <f t="shared" si="28"/>
        <v>30.14</v>
      </c>
      <c r="R98">
        <f t="shared" si="29"/>
        <v>20.659999999999997</v>
      </c>
      <c r="S98">
        <f t="shared" si="30"/>
        <v>15.919999999999998</v>
      </c>
      <c r="AC98">
        <v>13.1</v>
      </c>
      <c r="AD98">
        <v>15.8</v>
      </c>
      <c r="AE98">
        <v>21.8</v>
      </c>
    </row>
    <row r="99" spans="1:31" x14ac:dyDescent="0.15">
      <c r="A99">
        <f t="shared" si="31"/>
        <v>8</v>
      </c>
      <c r="B99" s="2">
        <v>1</v>
      </c>
      <c r="C99" s="3">
        <f t="shared" si="20"/>
        <v>8.0833333333333339</v>
      </c>
      <c r="E99">
        <v>125.1</v>
      </c>
      <c r="F99">
        <v>5.4</v>
      </c>
      <c r="G99">
        <f t="shared" si="21"/>
        <v>135.9</v>
      </c>
      <c r="H99">
        <f t="shared" si="22"/>
        <v>130.5</v>
      </c>
      <c r="I99">
        <f t="shared" si="23"/>
        <v>119.69999999999999</v>
      </c>
      <c r="J99">
        <f t="shared" si="24"/>
        <v>114.3</v>
      </c>
      <c r="K99">
        <f t="shared" si="25"/>
        <v>111.6</v>
      </c>
      <c r="L99">
        <f t="shared" si="26"/>
        <v>108.89999999999999</v>
      </c>
      <c r="N99">
        <v>25.7</v>
      </c>
      <c r="O99">
        <v>4.83</v>
      </c>
      <c r="P99">
        <f t="shared" si="27"/>
        <v>35.36</v>
      </c>
      <c r="Q99">
        <f t="shared" si="28"/>
        <v>30.53</v>
      </c>
      <c r="R99">
        <f t="shared" si="29"/>
        <v>20.869999999999997</v>
      </c>
      <c r="S99">
        <f t="shared" si="30"/>
        <v>16.04</v>
      </c>
      <c r="AC99">
        <v>13.1</v>
      </c>
      <c r="AD99">
        <v>15.8</v>
      </c>
      <c r="AE99">
        <v>21.9</v>
      </c>
    </row>
    <row r="100" spans="1:31" x14ac:dyDescent="0.15">
      <c r="A100">
        <f t="shared" si="31"/>
        <v>8</v>
      </c>
      <c r="B100" s="2">
        <v>2</v>
      </c>
      <c r="C100" s="3">
        <f t="shared" si="20"/>
        <v>8.1666666666666661</v>
      </c>
      <c r="E100">
        <v>125.6</v>
      </c>
      <c r="F100">
        <v>5.4</v>
      </c>
      <c r="G100">
        <f t="shared" si="21"/>
        <v>136.4</v>
      </c>
      <c r="H100">
        <f t="shared" si="22"/>
        <v>131</v>
      </c>
      <c r="I100">
        <f t="shared" si="23"/>
        <v>120.19999999999999</v>
      </c>
      <c r="J100">
        <f t="shared" si="24"/>
        <v>114.8</v>
      </c>
      <c r="K100">
        <f t="shared" si="25"/>
        <v>112.1</v>
      </c>
      <c r="L100">
        <f t="shared" si="26"/>
        <v>109.39999999999999</v>
      </c>
      <c r="N100">
        <v>25.9</v>
      </c>
      <c r="O100">
        <v>4.91</v>
      </c>
      <c r="P100">
        <f t="shared" si="27"/>
        <v>35.72</v>
      </c>
      <c r="Q100">
        <f t="shared" si="28"/>
        <v>30.81</v>
      </c>
      <c r="R100">
        <f t="shared" si="29"/>
        <v>20.99</v>
      </c>
      <c r="S100">
        <f t="shared" si="30"/>
        <v>16.079999999999998</v>
      </c>
      <c r="AC100">
        <v>13.1</v>
      </c>
      <c r="AD100">
        <v>15.9</v>
      </c>
      <c r="AE100">
        <v>22</v>
      </c>
    </row>
    <row r="101" spans="1:31" x14ac:dyDescent="0.15">
      <c r="A101">
        <f t="shared" si="31"/>
        <v>8</v>
      </c>
      <c r="B101" s="2">
        <v>3</v>
      </c>
      <c r="C101" s="3">
        <f t="shared" si="20"/>
        <v>8.25</v>
      </c>
      <c r="E101">
        <v>126.1</v>
      </c>
      <c r="F101">
        <v>5.5</v>
      </c>
      <c r="G101">
        <f t="shared" si="21"/>
        <v>137.1</v>
      </c>
      <c r="H101">
        <f t="shared" si="22"/>
        <v>131.6</v>
      </c>
      <c r="I101">
        <f t="shared" si="23"/>
        <v>120.6</v>
      </c>
      <c r="J101">
        <f t="shared" si="24"/>
        <v>115.1</v>
      </c>
      <c r="K101">
        <f t="shared" si="25"/>
        <v>112.35</v>
      </c>
      <c r="L101">
        <f t="shared" si="26"/>
        <v>109.6</v>
      </c>
      <c r="N101">
        <v>26.2</v>
      </c>
      <c r="O101">
        <v>5</v>
      </c>
      <c r="P101">
        <f t="shared" si="27"/>
        <v>36.200000000000003</v>
      </c>
      <c r="Q101">
        <f t="shared" si="28"/>
        <v>31.2</v>
      </c>
      <c r="R101">
        <f t="shared" si="29"/>
        <v>21.2</v>
      </c>
      <c r="S101">
        <f t="shared" si="30"/>
        <v>16.2</v>
      </c>
      <c r="AC101">
        <v>13.1</v>
      </c>
      <c r="AD101">
        <v>15.9</v>
      </c>
      <c r="AE101">
        <v>22.1</v>
      </c>
    </row>
    <row r="102" spans="1:31" x14ac:dyDescent="0.15">
      <c r="A102">
        <f t="shared" ref="A102:A133" si="32">A90+1</f>
        <v>8</v>
      </c>
      <c r="B102" s="2">
        <v>4</v>
      </c>
      <c r="C102" s="3">
        <f t="shared" si="20"/>
        <v>8.3333333333333339</v>
      </c>
      <c r="E102">
        <v>126.5</v>
      </c>
      <c r="F102">
        <v>5.5</v>
      </c>
      <c r="G102">
        <f t="shared" si="21"/>
        <v>137.5</v>
      </c>
      <c r="H102">
        <f t="shared" si="22"/>
        <v>132</v>
      </c>
      <c r="I102">
        <f t="shared" si="23"/>
        <v>121</v>
      </c>
      <c r="J102">
        <f t="shared" si="24"/>
        <v>115.5</v>
      </c>
      <c r="K102">
        <f t="shared" si="25"/>
        <v>112.75</v>
      </c>
      <c r="L102">
        <f t="shared" si="26"/>
        <v>110</v>
      </c>
      <c r="N102">
        <v>26.5</v>
      </c>
      <c r="O102">
        <v>5.09</v>
      </c>
      <c r="P102">
        <f t="shared" si="27"/>
        <v>36.68</v>
      </c>
      <c r="Q102">
        <f t="shared" si="28"/>
        <v>31.59</v>
      </c>
      <c r="R102">
        <f t="shared" si="29"/>
        <v>21.41</v>
      </c>
      <c r="S102">
        <f t="shared" si="30"/>
        <v>16.32</v>
      </c>
      <c r="AC102">
        <v>13.2</v>
      </c>
      <c r="AD102">
        <v>15.9</v>
      </c>
      <c r="AE102">
        <v>22.2</v>
      </c>
    </row>
    <row r="103" spans="1:31" x14ac:dyDescent="0.15">
      <c r="A103">
        <f t="shared" si="32"/>
        <v>8</v>
      </c>
      <c r="B103" s="2">
        <v>5</v>
      </c>
      <c r="C103" s="3">
        <f t="shared" si="20"/>
        <v>8.4166666666666661</v>
      </c>
      <c r="E103">
        <v>127</v>
      </c>
      <c r="F103">
        <v>5.5</v>
      </c>
      <c r="G103">
        <f t="shared" si="21"/>
        <v>138</v>
      </c>
      <c r="H103">
        <f t="shared" si="22"/>
        <v>132.5</v>
      </c>
      <c r="I103">
        <f t="shared" si="23"/>
        <v>121.5</v>
      </c>
      <c r="J103">
        <f t="shared" si="24"/>
        <v>116</v>
      </c>
      <c r="K103">
        <f t="shared" si="25"/>
        <v>113.25</v>
      </c>
      <c r="L103">
        <f t="shared" si="26"/>
        <v>110.5</v>
      </c>
      <c r="N103">
        <v>26.7</v>
      </c>
      <c r="O103">
        <v>5.17</v>
      </c>
      <c r="P103">
        <f t="shared" si="27"/>
        <v>37.04</v>
      </c>
      <c r="Q103">
        <f t="shared" si="28"/>
        <v>31.869999999999997</v>
      </c>
      <c r="R103">
        <f t="shared" si="29"/>
        <v>21.53</v>
      </c>
      <c r="S103">
        <f t="shared" si="30"/>
        <v>16.36</v>
      </c>
      <c r="AC103">
        <v>13.2</v>
      </c>
      <c r="AD103">
        <v>16</v>
      </c>
      <c r="AE103">
        <v>22.3</v>
      </c>
    </row>
    <row r="104" spans="1:31" x14ac:dyDescent="0.15">
      <c r="A104">
        <f t="shared" si="32"/>
        <v>8</v>
      </c>
      <c r="B104" s="2">
        <v>6</v>
      </c>
      <c r="C104" s="3">
        <f t="shared" si="20"/>
        <v>8.5</v>
      </c>
      <c r="E104">
        <v>127.5</v>
      </c>
      <c r="F104">
        <v>5.6</v>
      </c>
      <c r="G104">
        <f t="shared" si="21"/>
        <v>138.69999999999999</v>
      </c>
      <c r="H104">
        <f t="shared" si="22"/>
        <v>133.1</v>
      </c>
      <c r="I104">
        <f t="shared" si="23"/>
        <v>121.9</v>
      </c>
      <c r="J104">
        <f t="shared" si="24"/>
        <v>116.3</v>
      </c>
      <c r="K104">
        <f t="shared" si="25"/>
        <v>113.5</v>
      </c>
      <c r="L104">
        <f t="shared" si="26"/>
        <v>110.7</v>
      </c>
      <c r="N104">
        <v>27</v>
      </c>
      <c r="O104">
        <v>5.26</v>
      </c>
      <c r="P104">
        <f t="shared" si="27"/>
        <v>37.519999999999996</v>
      </c>
      <c r="Q104">
        <f t="shared" si="28"/>
        <v>32.26</v>
      </c>
      <c r="R104">
        <f t="shared" si="29"/>
        <v>21.740000000000002</v>
      </c>
      <c r="S104">
        <f t="shared" si="30"/>
        <v>16.48</v>
      </c>
      <c r="AC104">
        <v>13.2</v>
      </c>
      <c r="AD104">
        <v>16</v>
      </c>
      <c r="AE104">
        <v>22.4</v>
      </c>
    </row>
    <row r="105" spans="1:31" x14ac:dyDescent="0.15">
      <c r="A105">
        <f t="shared" si="32"/>
        <v>8</v>
      </c>
      <c r="B105" s="2">
        <v>7</v>
      </c>
      <c r="C105" s="3">
        <f t="shared" si="20"/>
        <v>8.5833333333333339</v>
      </c>
      <c r="E105">
        <v>128</v>
      </c>
      <c r="F105">
        <v>5.6</v>
      </c>
      <c r="G105">
        <f t="shared" si="21"/>
        <v>139.19999999999999</v>
      </c>
      <c r="H105">
        <f t="shared" si="22"/>
        <v>133.6</v>
      </c>
      <c r="I105">
        <f t="shared" si="23"/>
        <v>122.4</v>
      </c>
      <c r="J105">
        <f t="shared" si="24"/>
        <v>116.8</v>
      </c>
      <c r="K105">
        <f t="shared" si="25"/>
        <v>114</v>
      </c>
      <c r="L105">
        <f t="shared" si="26"/>
        <v>111.2</v>
      </c>
      <c r="N105">
        <v>27.3</v>
      </c>
      <c r="O105">
        <v>5.36</v>
      </c>
      <c r="P105">
        <f t="shared" si="27"/>
        <v>38.020000000000003</v>
      </c>
      <c r="Q105">
        <f t="shared" si="28"/>
        <v>32.660000000000004</v>
      </c>
      <c r="R105">
        <f t="shared" si="29"/>
        <v>21.94</v>
      </c>
      <c r="S105">
        <f t="shared" si="30"/>
        <v>16.579999999999998</v>
      </c>
      <c r="AC105">
        <v>13.2</v>
      </c>
      <c r="AD105">
        <v>16</v>
      </c>
      <c r="AE105">
        <v>22.4</v>
      </c>
    </row>
    <row r="106" spans="1:31" x14ac:dyDescent="0.15">
      <c r="A106">
        <f t="shared" si="32"/>
        <v>8</v>
      </c>
      <c r="B106" s="2">
        <v>8</v>
      </c>
      <c r="C106" s="3">
        <f t="shared" si="20"/>
        <v>8.6666666666666661</v>
      </c>
      <c r="E106">
        <v>128.5</v>
      </c>
      <c r="F106">
        <v>5.7</v>
      </c>
      <c r="G106">
        <f t="shared" si="21"/>
        <v>139.9</v>
      </c>
      <c r="H106">
        <f t="shared" si="22"/>
        <v>134.19999999999999</v>
      </c>
      <c r="I106">
        <f t="shared" si="23"/>
        <v>122.8</v>
      </c>
      <c r="J106">
        <f t="shared" si="24"/>
        <v>117.1</v>
      </c>
      <c r="K106">
        <f t="shared" si="25"/>
        <v>114.25</v>
      </c>
      <c r="L106">
        <f t="shared" si="26"/>
        <v>111.4</v>
      </c>
      <c r="N106">
        <v>27.6</v>
      </c>
      <c r="O106">
        <v>5.45</v>
      </c>
      <c r="P106">
        <f t="shared" si="27"/>
        <v>38.5</v>
      </c>
      <c r="Q106">
        <f t="shared" si="28"/>
        <v>33.050000000000004</v>
      </c>
      <c r="R106">
        <f t="shared" si="29"/>
        <v>22.150000000000002</v>
      </c>
      <c r="S106">
        <f t="shared" si="30"/>
        <v>16.700000000000003</v>
      </c>
      <c r="AC106">
        <v>13.2</v>
      </c>
      <c r="AD106">
        <v>16.100000000000001</v>
      </c>
      <c r="AE106">
        <v>22.5</v>
      </c>
    </row>
    <row r="107" spans="1:31" x14ac:dyDescent="0.15">
      <c r="A107">
        <f t="shared" si="32"/>
        <v>8</v>
      </c>
      <c r="B107" s="2">
        <v>9</v>
      </c>
      <c r="C107" s="3">
        <f t="shared" si="20"/>
        <v>8.75</v>
      </c>
      <c r="E107">
        <v>129</v>
      </c>
      <c r="F107">
        <v>5.7</v>
      </c>
      <c r="G107">
        <f t="shared" si="21"/>
        <v>140.4</v>
      </c>
      <c r="H107">
        <f t="shared" si="22"/>
        <v>134.69999999999999</v>
      </c>
      <c r="I107">
        <f t="shared" si="23"/>
        <v>123.3</v>
      </c>
      <c r="J107">
        <f t="shared" si="24"/>
        <v>117.6</v>
      </c>
      <c r="K107">
        <f t="shared" si="25"/>
        <v>114.75</v>
      </c>
      <c r="L107">
        <f t="shared" si="26"/>
        <v>111.9</v>
      </c>
      <c r="N107">
        <v>27.9</v>
      </c>
      <c r="O107">
        <v>5.55</v>
      </c>
      <c r="P107">
        <f t="shared" si="27"/>
        <v>39</v>
      </c>
      <c r="Q107">
        <f t="shared" si="28"/>
        <v>33.449999999999996</v>
      </c>
      <c r="R107">
        <f t="shared" si="29"/>
        <v>22.349999999999998</v>
      </c>
      <c r="S107">
        <f t="shared" si="30"/>
        <v>16.799999999999997</v>
      </c>
      <c r="AC107">
        <v>13.2</v>
      </c>
      <c r="AD107">
        <v>16.100000000000001</v>
      </c>
      <c r="AE107">
        <v>22.6</v>
      </c>
    </row>
    <row r="108" spans="1:31" x14ac:dyDescent="0.15">
      <c r="A108">
        <f t="shared" si="32"/>
        <v>8</v>
      </c>
      <c r="B108" s="2">
        <v>10</v>
      </c>
      <c r="C108" s="3">
        <f t="shared" si="20"/>
        <v>8.8333333333333339</v>
      </c>
      <c r="E108">
        <v>129.5</v>
      </c>
      <c r="F108">
        <v>5.8</v>
      </c>
      <c r="G108">
        <f t="shared" si="21"/>
        <v>141.1</v>
      </c>
      <c r="H108">
        <f t="shared" si="22"/>
        <v>135.30000000000001</v>
      </c>
      <c r="I108">
        <f t="shared" si="23"/>
        <v>123.7</v>
      </c>
      <c r="J108">
        <f t="shared" si="24"/>
        <v>117.9</v>
      </c>
      <c r="K108">
        <f t="shared" si="25"/>
        <v>115</v>
      </c>
      <c r="L108">
        <f t="shared" si="26"/>
        <v>112.1</v>
      </c>
      <c r="N108">
        <v>28.2</v>
      </c>
      <c r="O108">
        <v>5.64</v>
      </c>
      <c r="P108">
        <f t="shared" si="27"/>
        <v>39.479999999999997</v>
      </c>
      <c r="Q108">
        <f t="shared" si="28"/>
        <v>33.839999999999996</v>
      </c>
      <c r="R108">
        <f t="shared" si="29"/>
        <v>22.56</v>
      </c>
      <c r="S108">
        <f t="shared" si="30"/>
        <v>16.920000000000002</v>
      </c>
      <c r="AC108">
        <v>13.3</v>
      </c>
      <c r="AD108">
        <v>16.2</v>
      </c>
      <c r="AE108">
        <v>22.7</v>
      </c>
    </row>
    <row r="109" spans="1:31" x14ac:dyDescent="0.15">
      <c r="A109">
        <f t="shared" si="32"/>
        <v>8</v>
      </c>
      <c r="B109" s="2">
        <v>11</v>
      </c>
      <c r="C109" s="3">
        <f t="shared" si="20"/>
        <v>8.9166666666666661</v>
      </c>
      <c r="E109">
        <v>130</v>
      </c>
      <c r="F109">
        <v>5.8</v>
      </c>
      <c r="G109">
        <f t="shared" si="21"/>
        <v>141.6</v>
      </c>
      <c r="H109">
        <f t="shared" si="22"/>
        <v>135.80000000000001</v>
      </c>
      <c r="I109">
        <f t="shared" si="23"/>
        <v>124.2</v>
      </c>
      <c r="J109">
        <f t="shared" si="24"/>
        <v>118.4</v>
      </c>
      <c r="K109">
        <f t="shared" si="25"/>
        <v>115.5</v>
      </c>
      <c r="L109">
        <f t="shared" si="26"/>
        <v>112.6</v>
      </c>
      <c r="N109">
        <v>28.5</v>
      </c>
      <c r="O109">
        <v>5.74</v>
      </c>
      <c r="P109">
        <f t="shared" si="27"/>
        <v>39.980000000000004</v>
      </c>
      <c r="Q109">
        <f t="shared" si="28"/>
        <v>34.24</v>
      </c>
      <c r="R109">
        <f t="shared" si="29"/>
        <v>22.759999999999998</v>
      </c>
      <c r="S109">
        <f t="shared" si="30"/>
        <v>17.02</v>
      </c>
      <c r="AC109">
        <v>13.3</v>
      </c>
      <c r="AD109">
        <v>16.2</v>
      </c>
      <c r="AE109">
        <v>22.8</v>
      </c>
    </row>
    <row r="110" spans="1:31" x14ac:dyDescent="0.15">
      <c r="A110">
        <f t="shared" si="32"/>
        <v>9</v>
      </c>
      <c r="B110" s="2">
        <v>0</v>
      </c>
      <c r="C110" s="3">
        <f t="shared" si="20"/>
        <v>9</v>
      </c>
      <c r="E110">
        <v>130.5</v>
      </c>
      <c r="F110">
        <v>5.9</v>
      </c>
      <c r="G110">
        <f t="shared" si="21"/>
        <v>142.30000000000001</v>
      </c>
      <c r="H110">
        <f t="shared" si="22"/>
        <v>136.4</v>
      </c>
      <c r="I110">
        <f t="shared" si="23"/>
        <v>124.6</v>
      </c>
      <c r="J110">
        <f t="shared" si="24"/>
        <v>118.7</v>
      </c>
      <c r="K110">
        <f t="shared" si="25"/>
        <v>115.75</v>
      </c>
      <c r="L110">
        <f t="shared" si="26"/>
        <v>112.8</v>
      </c>
      <c r="N110">
        <v>28.9</v>
      </c>
      <c r="O110">
        <v>5.84</v>
      </c>
      <c r="P110">
        <f t="shared" si="27"/>
        <v>40.58</v>
      </c>
      <c r="Q110">
        <f t="shared" si="28"/>
        <v>34.739999999999995</v>
      </c>
      <c r="R110">
        <f t="shared" si="29"/>
        <v>23.06</v>
      </c>
      <c r="S110">
        <f t="shared" si="30"/>
        <v>17.22</v>
      </c>
      <c r="AC110">
        <v>13.3</v>
      </c>
      <c r="AD110">
        <v>16.2</v>
      </c>
      <c r="AE110">
        <v>22.8</v>
      </c>
    </row>
    <row r="111" spans="1:31" x14ac:dyDescent="0.15">
      <c r="A111">
        <f t="shared" si="32"/>
        <v>9</v>
      </c>
      <c r="B111" s="2">
        <v>1</v>
      </c>
      <c r="C111" s="3">
        <f t="shared" si="20"/>
        <v>9.0833333333333339</v>
      </c>
      <c r="E111">
        <v>131</v>
      </c>
      <c r="F111">
        <v>5.9</v>
      </c>
      <c r="G111">
        <f t="shared" si="21"/>
        <v>142.80000000000001</v>
      </c>
      <c r="H111">
        <f t="shared" si="22"/>
        <v>136.9</v>
      </c>
      <c r="I111">
        <f t="shared" si="23"/>
        <v>125.1</v>
      </c>
      <c r="J111">
        <f t="shared" si="24"/>
        <v>119.2</v>
      </c>
      <c r="K111">
        <f t="shared" si="25"/>
        <v>116.25</v>
      </c>
      <c r="L111">
        <f t="shared" si="26"/>
        <v>113.3</v>
      </c>
      <c r="N111">
        <v>29.2</v>
      </c>
      <c r="O111">
        <v>5.93</v>
      </c>
      <c r="P111">
        <f t="shared" si="27"/>
        <v>41.06</v>
      </c>
      <c r="Q111">
        <f t="shared" si="28"/>
        <v>35.129999999999995</v>
      </c>
      <c r="R111">
        <f t="shared" si="29"/>
        <v>23.27</v>
      </c>
      <c r="S111">
        <f t="shared" si="30"/>
        <v>17.34</v>
      </c>
      <c r="AC111">
        <v>13.3</v>
      </c>
      <c r="AD111">
        <v>16.3</v>
      </c>
      <c r="AE111">
        <v>22.9</v>
      </c>
    </row>
    <row r="112" spans="1:31" x14ac:dyDescent="0.15">
      <c r="A112">
        <f t="shared" si="32"/>
        <v>9</v>
      </c>
      <c r="B112" s="2">
        <v>2</v>
      </c>
      <c r="C112" s="3">
        <f t="shared" si="20"/>
        <v>9.1666666666666661</v>
      </c>
      <c r="E112">
        <v>131.5</v>
      </c>
      <c r="F112">
        <v>6</v>
      </c>
      <c r="G112">
        <f t="shared" si="21"/>
        <v>143.5</v>
      </c>
      <c r="H112">
        <f t="shared" si="22"/>
        <v>137.5</v>
      </c>
      <c r="I112">
        <f t="shared" si="23"/>
        <v>125.5</v>
      </c>
      <c r="J112">
        <f t="shared" si="24"/>
        <v>119.5</v>
      </c>
      <c r="K112">
        <f t="shared" si="25"/>
        <v>116.5</v>
      </c>
      <c r="L112">
        <f t="shared" si="26"/>
        <v>113.5</v>
      </c>
      <c r="N112">
        <v>29.5</v>
      </c>
      <c r="O112">
        <v>6.03</v>
      </c>
      <c r="P112">
        <f t="shared" si="27"/>
        <v>41.56</v>
      </c>
      <c r="Q112">
        <f t="shared" si="28"/>
        <v>35.53</v>
      </c>
      <c r="R112">
        <f t="shared" si="29"/>
        <v>23.47</v>
      </c>
      <c r="S112">
        <f t="shared" si="30"/>
        <v>17.439999999999998</v>
      </c>
      <c r="AC112">
        <v>13.4</v>
      </c>
      <c r="AD112">
        <v>16.3</v>
      </c>
      <c r="AE112">
        <v>23</v>
      </c>
    </row>
    <row r="113" spans="1:31" x14ac:dyDescent="0.15">
      <c r="A113">
        <f t="shared" si="32"/>
        <v>9</v>
      </c>
      <c r="B113" s="2">
        <v>3</v>
      </c>
      <c r="C113" s="3">
        <f t="shared" si="20"/>
        <v>9.25</v>
      </c>
      <c r="E113">
        <v>132</v>
      </c>
      <c r="F113">
        <v>6</v>
      </c>
      <c r="G113">
        <f t="shared" si="21"/>
        <v>144</v>
      </c>
      <c r="H113">
        <f t="shared" si="22"/>
        <v>138</v>
      </c>
      <c r="I113">
        <f t="shared" si="23"/>
        <v>126</v>
      </c>
      <c r="J113">
        <f t="shared" si="24"/>
        <v>120</v>
      </c>
      <c r="K113">
        <f t="shared" si="25"/>
        <v>117</v>
      </c>
      <c r="L113">
        <f t="shared" si="26"/>
        <v>114</v>
      </c>
      <c r="N113">
        <v>29.8</v>
      </c>
      <c r="O113">
        <v>6.12</v>
      </c>
      <c r="P113">
        <f t="shared" si="27"/>
        <v>42.04</v>
      </c>
      <c r="Q113">
        <f t="shared" si="28"/>
        <v>35.92</v>
      </c>
      <c r="R113">
        <f t="shared" si="29"/>
        <v>23.68</v>
      </c>
      <c r="S113">
        <f t="shared" si="30"/>
        <v>17.560000000000002</v>
      </c>
      <c r="AC113">
        <v>13.4</v>
      </c>
      <c r="AD113">
        <v>16.399999999999999</v>
      </c>
      <c r="AE113">
        <v>23.1</v>
      </c>
    </row>
    <row r="114" spans="1:31" x14ac:dyDescent="0.15">
      <c r="A114">
        <f t="shared" si="32"/>
        <v>9</v>
      </c>
      <c r="B114" s="2">
        <v>4</v>
      </c>
      <c r="C114" s="3">
        <f t="shared" si="20"/>
        <v>9.3333333333333339</v>
      </c>
      <c r="E114">
        <v>132.5</v>
      </c>
      <c r="F114">
        <v>6.1</v>
      </c>
      <c r="G114">
        <f t="shared" si="21"/>
        <v>144.69999999999999</v>
      </c>
      <c r="H114">
        <f t="shared" si="22"/>
        <v>138.6</v>
      </c>
      <c r="I114">
        <f t="shared" si="23"/>
        <v>126.4</v>
      </c>
      <c r="J114">
        <f t="shared" si="24"/>
        <v>120.3</v>
      </c>
      <c r="K114">
        <f t="shared" si="25"/>
        <v>117.25</v>
      </c>
      <c r="L114">
        <f t="shared" si="26"/>
        <v>114.2</v>
      </c>
      <c r="N114">
        <v>30.1</v>
      </c>
      <c r="O114">
        <v>6.22</v>
      </c>
      <c r="P114">
        <f t="shared" si="27"/>
        <v>42.54</v>
      </c>
      <c r="Q114">
        <f t="shared" si="28"/>
        <v>36.32</v>
      </c>
      <c r="R114">
        <f t="shared" si="29"/>
        <v>23.880000000000003</v>
      </c>
      <c r="S114">
        <f t="shared" si="30"/>
        <v>17.660000000000004</v>
      </c>
      <c r="AC114">
        <v>13.4</v>
      </c>
      <c r="AD114">
        <v>16.399999999999999</v>
      </c>
      <c r="AE114">
        <v>23.1</v>
      </c>
    </row>
    <row r="115" spans="1:31" x14ac:dyDescent="0.15">
      <c r="A115">
        <f t="shared" si="32"/>
        <v>9</v>
      </c>
      <c r="B115" s="2">
        <v>5</v>
      </c>
      <c r="C115" s="3">
        <f t="shared" si="20"/>
        <v>9.4166666666666661</v>
      </c>
      <c r="E115">
        <v>133</v>
      </c>
      <c r="F115">
        <v>6.1</v>
      </c>
      <c r="G115">
        <f t="shared" si="21"/>
        <v>145.19999999999999</v>
      </c>
      <c r="H115">
        <f t="shared" si="22"/>
        <v>139.1</v>
      </c>
      <c r="I115">
        <f t="shared" si="23"/>
        <v>126.9</v>
      </c>
      <c r="J115">
        <f t="shared" si="24"/>
        <v>120.8</v>
      </c>
      <c r="K115">
        <f t="shared" si="25"/>
        <v>117.75</v>
      </c>
      <c r="L115">
        <f t="shared" si="26"/>
        <v>114.7</v>
      </c>
      <c r="N115">
        <v>30.4</v>
      </c>
      <c r="O115">
        <v>6.31</v>
      </c>
      <c r="P115">
        <f t="shared" si="27"/>
        <v>43.019999999999996</v>
      </c>
      <c r="Q115">
        <f t="shared" si="28"/>
        <v>36.71</v>
      </c>
      <c r="R115">
        <f t="shared" si="29"/>
        <v>24.09</v>
      </c>
      <c r="S115">
        <f t="shared" si="30"/>
        <v>17.78</v>
      </c>
      <c r="AC115">
        <v>13.4</v>
      </c>
      <c r="AD115">
        <v>16.5</v>
      </c>
      <c r="AE115">
        <v>23.2</v>
      </c>
    </row>
    <row r="116" spans="1:31" x14ac:dyDescent="0.15">
      <c r="A116">
        <f t="shared" si="32"/>
        <v>9</v>
      </c>
      <c r="B116" s="2">
        <v>6</v>
      </c>
      <c r="C116" s="3">
        <f t="shared" si="20"/>
        <v>9.5</v>
      </c>
      <c r="E116">
        <v>133.5</v>
      </c>
      <c r="F116">
        <v>6.2</v>
      </c>
      <c r="G116">
        <f t="shared" si="21"/>
        <v>145.9</v>
      </c>
      <c r="H116">
        <f t="shared" si="22"/>
        <v>139.69999999999999</v>
      </c>
      <c r="I116">
        <f t="shared" si="23"/>
        <v>127.3</v>
      </c>
      <c r="J116">
        <f t="shared" si="24"/>
        <v>121.1</v>
      </c>
      <c r="K116">
        <f t="shared" si="25"/>
        <v>118</v>
      </c>
      <c r="L116">
        <f t="shared" si="26"/>
        <v>114.9</v>
      </c>
      <c r="N116">
        <v>30.7</v>
      </c>
      <c r="O116">
        <v>6.41</v>
      </c>
      <c r="P116">
        <f t="shared" si="27"/>
        <v>43.519999999999996</v>
      </c>
      <c r="Q116">
        <f t="shared" si="28"/>
        <v>37.11</v>
      </c>
      <c r="R116">
        <f t="shared" si="29"/>
        <v>24.29</v>
      </c>
      <c r="S116">
        <f t="shared" si="30"/>
        <v>17.88</v>
      </c>
      <c r="AC116">
        <v>13.5</v>
      </c>
      <c r="AD116">
        <v>16.5</v>
      </c>
      <c r="AE116">
        <v>23.3</v>
      </c>
    </row>
    <row r="117" spans="1:31" x14ac:dyDescent="0.15">
      <c r="A117">
        <f t="shared" si="32"/>
        <v>9</v>
      </c>
      <c r="B117" s="2">
        <v>7</v>
      </c>
      <c r="C117" s="3">
        <f t="shared" si="20"/>
        <v>9.5833333333333339</v>
      </c>
      <c r="E117">
        <v>134.1</v>
      </c>
      <c r="F117">
        <v>6.2</v>
      </c>
      <c r="G117">
        <f t="shared" si="21"/>
        <v>146.5</v>
      </c>
      <c r="H117">
        <f t="shared" si="22"/>
        <v>140.29999999999998</v>
      </c>
      <c r="I117">
        <f t="shared" si="23"/>
        <v>127.89999999999999</v>
      </c>
      <c r="J117">
        <f t="shared" si="24"/>
        <v>121.69999999999999</v>
      </c>
      <c r="K117">
        <f t="shared" si="25"/>
        <v>118.6</v>
      </c>
      <c r="L117">
        <f t="shared" si="26"/>
        <v>115.5</v>
      </c>
      <c r="N117">
        <v>31.1</v>
      </c>
      <c r="O117">
        <v>6.5</v>
      </c>
      <c r="P117">
        <f t="shared" si="27"/>
        <v>44.1</v>
      </c>
      <c r="Q117">
        <f t="shared" si="28"/>
        <v>37.6</v>
      </c>
      <c r="R117">
        <f t="shared" si="29"/>
        <v>24.6</v>
      </c>
      <c r="S117">
        <f t="shared" si="30"/>
        <v>18.100000000000001</v>
      </c>
      <c r="AC117">
        <v>13.5</v>
      </c>
      <c r="AD117">
        <v>16.600000000000001</v>
      </c>
      <c r="AE117">
        <v>23.4</v>
      </c>
    </row>
    <row r="118" spans="1:31" x14ac:dyDescent="0.15">
      <c r="A118">
        <f t="shared" si="32"/>
        <v>9</v>
      </c>
      <c r="B118" s="2">
        <v>8</v>
      </c>
      <c r="C118" s="3">
        <f t="shared" si="20"/>
        <v>9.6666666666666661</v>
      </c>
      <c r="E118">
        <v>134.6</v>
      </c>
      <c r="F118">
        <v>6.3</v>
      </c>
      <c r="G118">
        <f t="shared" si="21"/>
        <v>147.19999999999999</v>
      </c>
      <c r="H118">
        <f t="shared" si="22"/>
        <v>140.9</v>
      </c>
      <c r="I118">
        <f t="shared" si="23"/>
        <v>128.29999999999998</v>
      </c>
      <c r="J118">
        <f t="shared" si="24"/>
        <v>122</v>
      </c>
      <c r="K118">
        <f t="shared" si="25"/>
        <v>118.85</v>
      </c>
      <c r="L118">
        <f t="shared" si="26"/>
        <v>115.69999999999999</v>
      </c>
      <c r="N118">
        <v>31.4</v>
      </c>
      <c r="O118">
        <v>6.59</v>
      </c>
      <c r="P118">
        <f t="shared" si="27"/>
        <v>44.58</v>
      </c>
      <c r="Q118">
        <f t="shared" si="28"/>
        <v>37.989999999999995</v>
      </c>
      <c r="R118">
        <f t="shared" si="29"/>
        <v>24.81</v>
      </c>
      <c r="S118">
        <f t="shared" si="30"/>
        <v>18.22</v>
      </c>
      <c r="AC118">
        <v>13.5</v>
      </c>
      <c r="AD118">
        <v>16.600000000000001</v>
      </c>
      <c r="AE118">
        <v>23.4</v>
      </c>
    </row>
    <row r="119" spans="1:31" x14ac:dyDescent="0.15">
      <c r="A119">
        <f t="shared" si="32"/>
        <v>9</v>
      </c>
      <c r="B119" s="2">
        <v>9</v>
      </c>
      <c r="C119" s="3">
        <f t="shared" si="20"/>
        <v>9.75</v>
      </c>
      <c r="E119">
        <v>135.19999999999999</v>
      </c>
      <c r="F119">
        <v>6.3</v>
      </c>
      <c r="G119">
        <f t="shared" si="21"/>
        <v>147.79999999999998</v>
      </c>
      <c r="H119">
        <f t="shared" si="22"/>
        <v>141.5</v>
      </c>
      <c r="I119">
        <f t="shared" si="23"/>
        <v>128.89999999999998</v>
      </c>
      <c r="J119">
        <f t="shared" si="24"/>
        <v>122.6</v>
      </c>
      <c r="K119">
        <f t="shared" si="25"/>
        <v>119.44999999999999</v>
      </c>
      <c r="L119">
        <f t="shared" si="26"/>
        <v>116.29999999999998</v>
      </c>
      <c r="N119">
        <v>31.8</v>
      </c>
      <c r="O119">
        <v>6.69</v>
      </c>
      <c r="P119">
        <f t="shared" si="27"/>
        <v>45.18</v>
      </c>
      <c r="Q119">
        <f t="shared" si="28"/>
        <v>38.49</v>
      </c>
      <c r="R119">
        <f t="shared" si="29"/>
        <v>25.11</v>
      </c>
      <c r="S119">
        <f t="shared" si="30"/>
        <v>18.420000000000002</v>
      </c>
      <c r="AC119">
        <v>13.6</v>
      </c>
      <c r="AD119">
        <v>16.7</v>
      </c>
      <c r="AE119">
        <v>23.5</v>
      </c>
    </row>
    <row r="120" spans="1:31" x14ac:dyDescent="0.15">
      <c r="A120">
        <f t="shared" si="32"/>
        <v>9</v>
      </c>
      <c r="B120" s="2">
        <v>10</v>
      </c>
      <c r="C120" s="3">
        <f t="shared" si="20"/>
        <v>9.8333333333333339</v>
      </c>
      <c r="E120">
        <v>135.80000000000001</v>
      </c>
      <c r="F120">
        <v>6.4</v>
      </c>
      <c r="G120">
        <f t="shared" si="21"/>
        <v>148.60000000000002</v>
      </c>
      <c r="H120">
        <f t="shared" si="22"/>
        <v>142.20000000000002</v>
      </c>
      <c r="I120">
        <f t="shared" si="23"/>
        <v>129.4</v>
      </c>
      <c r="J120">
        <f t="shared" si="24"/>
        <v>123.00000000000001</v>
      </c>
      <c r="K120">
        <f t="shared" si="25"/>
        <v>119.80000000000001</v>
      </c>
      <c r="L120">
        <f t="shared" si="26"/>
        <v>116.60000000000001</v>
      </c>
      <c r="N120">
        <v>32.1</v>
      </c>
      <c r="O120">
        <v>6.78</v>
      </c>
      <c r="P120">
        <f t="shared" si="27"/>
        <v>45.660000000000004</v>
      </c>
      <c r="Q120">
        <f t="shared" si="28"/>
        <v>38.880000000000003</v>
      </c>
      <c r="R120">
        <f t="shared" si="29"/>
        <v>25.32</v>
      </c>
      <c r="S120">
        <f t="shared" si="30"/>
        <v>18.54</v>
      </c>
      <c r="AC120">
        <v>13.6</v>
      </c>
      <c r="AD120">
        <v>16.7</v>
      </c>
      <c r="AE120">
        <v>23.6</v>
      </c>
    </row>
    <row r="121" spans="1:31" x14ac:dyDescent="0.15">
      <c r="A121">
        <f t="shared" si="32"/>
        <v>9</v>
      </c>
      <c r="B121" s="2">
        <v>11</v>
      </c>
      <c r="C121" s="3">
        <f t="shared" si="20"/>
        <v>9.9166666666666661</v>
      </c>
      <c r="E121">
        <v>136.30000000000001</v>
      </c>
      <c r="F121">
        <v>6.4</v>
      </c>
      <c r="G121">
        <f t="shared" si="21"/>
        <v>149.10000000000002</v>
      </c>
      <c r="H121">
        <f t="shared" si="22"/>
        <v>142.70000000000002</v>
      </c>
      <c r="I121">
        <f t="shared" si="23"/>
        <v>129.9</v>
      </c>
      <c r="J121">
        <f t="shared" si="24"/>
        <v>123.50000000000001</v>
      </c>
      <c r="K121">
        <f t="shared" si="25"/>
        <v>120.30000000000001</v>
      </c>
      <c r="L121">
        <f t="shared" si="26"/>
        <v>117.10000000000001</v>
      </c>
      <c r="N121">
        <v>32.5</v>
      </c>
      <c r="O121">
        <v>6.87</v>
      </c>
      <c r="P121">
        <f t="shared" si="27"/>
        <v>46.24</v>
      </c>
      <c r="Q121">
        <f t="shared" si="28"/>
        <v>39.369999999999997</v>
      </c>
      <c r="R121">
        <f t="shared" si="29"/>
        <v>25.63</v>
      </c>
      <c r="S121">
        <f t="shared" si="30"/>
        <v>18.759999999999998</v>
      </c>
      <c r="AC121">
        <v>13.6</v>
      </c>
      <c r="AD121">
        <v>16.8</v>
      </c>
      <c r="AE121">
        <v>23.6</v>
      </c>
    </row>
    <row r="122" spans="1:31" x14ac:dyDescent="0.15">
      <c r="A122">
        <f t="shared" si="32"/>
        <v>10</v>
      </c>
      <c r="B122" s="2">
        <v>0</v>
      </c>
      <c r="C122" s="3">
        <f t="shared" si="20"/>
        <v>10</v>
      </c>
      <c r="E122">
        <v>136.9</v>
      </c>
      <c r="F122">
        <v>6.5</v>
      </c>
      <c r="G122">
        <f t="shared" si="21"/>
        <v>149.9</v>
      </c>
      <c r="H122">
        <f t="shared" si="22"/>
        <v>143.4</v>
      </c>
      <c r="I122">
        <f t="shared" si="23"/>
        <v>130.4</v>
      </c>
      <c r="J122">
        <f t="shared" si="24"/>
        <v>123.9</v>
      </c>
      <c r="K122">
        <f t="shared" si="25"/>
        <v>120.65</v>
      </c>
      <c r="L122">
        <f t="shared" si="26"/>
        <v>117.4</v>
      </c>
      <c r="N122">
        <v>32.799999999999997</v>
      </c>
      <c r="O122">
        <v>6.96</v>
      </c>
      <c r="P122">
        <f t="shared" si="27"/>
        <v>46.72</v>
      </c>
      <c r="Q122">
        <f t="shared" si="28"/>
        <v>39.76</v>
      </c>
      <c r="R122">
        <f t="shared" si="29"/>
        <v>25.839999999999996</v>
      </c>
      <c r="S122">
        <f t="shared" si="30"/>
        <v>18.879999999999995</v>
      </c>
      <c r="AC122">
        <v>13.7</v>
      </c>
      <c r="AD122">
        <v>16.8</v>
      </c>
      <c r="AE122">
        <v>23.7</v>
      </c>
    </row>
    <row r="123" spans="1:31" x14ac:dyDescent="0.15">
      <c r="A123">
        <f t="shared" si="32"/>
        <v>10</v>
      </c>
      <c r="B123" s="2">
        <v>1</v>
      </c>
      <c r="C123" s="3">
        <f t="shared" si="20"/>
        <v>10.083333333333334</v>
      </c>
      <c r="E123">
        <v>137.5</v>
      </c>
      <c r="F123">
        <v>6.5</v>
      </c>
      <c r="G123">
        <f t="shared" si="21"/>
        <v>150.5</v>
      </c>
      <c r="H123">
        <f t="shared" si="22"/>
        <v>144</v>
      </c>
      <c r="I123">
        <f t="shared" si="23"/>
        <v>131</v>
      </c>
      <c r="J123">
        <f t="shared" si="24"/>
        <v>124.5</v>
      </c>
      <c r="K123">
        <f t="shared" si="25"/>
        <v>121.25</v>
      </c>
      <c r="L123">
        <f t="shared" si="26"/>
        <v>118</v>
      </c>
      <c r="N123">
        <v>33.200000000000003</v>
      </c>
      <c r="O123">
        <v>7.05</v>
      </c>
      <c r="P123">
        <f t="shared" si="27"/>
        <v>47.300000000000004</v>
      </c>
      <c r="Q123">
        <f t="shared" si="28"/>
        <v>40.25</v>
      </c>
      <c r="R123">
        <f t="shared" si="29"/>
        <v>26.150000000000002</v>
      </c>
      <c r="S123">
        <f t="shared" si="30"/>
        <v>19.100000000000001</v>
      </c>
      <c r="AC123">
        <v>13.7</v>
      </c>
      <c r="AD123">
        <v>16.899999999999999</v>
      </c>
      <c r="AE123">
        <v>23.8</v>
      </c>
    </row>
    <row r="124" spans="1:31" x14ac:dyDescent="0.15">
      <c r="A124">
        <f t="shared" si="32"/>
        <v>10</v>
      </c>
      <c r="B124" s="2">
        <v>2</v>
      </c>
      <c r="C124" s="3">
        <f t="shared" si="20"/>
        <v>10.166666666666666</v>
      </c>
      <c r="E124">
        <v>138</v>
      </c>
      <c r="F124">
        <v>6.6</v>
      </c>
      <c r="G124">
        <f t="shared" si="21"/>
        <v>151.19999999999999</v>
      </c>
      <c r="H124">
        <f t="shared" si="22"/>
        <v>144.6</v>
      </c>
      <c r="I124">
        <f t="shared" si="23"/>
        <v>131.4</v>
      </c>
      <c r="J124">
        <f t="shared" si="24"/>
        <v>124.8</v>
      </c>
      <c r="K124">
        <f t="shared" si="25"/>
        <v>121.5</v>
      </c>
      <c r="L124">
        <f t="shared" si="26"/>
        <v>118.2</v>
      </c>
      <c r="N124">
        <v>33.5</v>
      </c>
      <c r="O124">
        <v>7.14</v>
      </c>
      <c r="P124">
        <f t="shared" si="27"/>
        <v>47.78</v>
      </c>
      <c r="Q124">
        <f t="shared" si="28"/>
        <v>40.64</v>
      </c>
      <c r="R124">
        <f t="shared" si="29"/>
        <v>26.36</v>
      </c>
      <c r="S124">
        <f t="shared" si="30"/>
        <v>19.22</v>
      </c>
      <c r="AC124">
        <v>13.7</v>
      </c>
      <c r="AD124">
        <v>16.899999999999999</v>
      </c>
      <c r="AE124">
        <v>23.8</v>
      </c>
    </row>
    <row r="125" spans="1:31" x14ac:dyDescent="0.15">
      <c r="A125">
        <f t="shared" si="32"/>
        <v>10</v>
      </c>
      <c r="B125" s="2">
        <v>3</v>
      </c>
      <c r="C125" s="3">
        <f t="shared" si="20"/>
        <v>10.25</v>
      </c>
      <c r="E125">
        <v>138.6</v>
      </c>
      <c r="F125">
        <v>6.6</v>
      </c>
      <c r="G125">
        <f t="shared" si="21"/>
        <v>151.79999999999998</v>
      </c>
      <c r="H125">
        <f t="shared" si="22"/>
        <v>145.19999999999999</v>
      </c>
      <c r="I125">
        <f t="shared" si="23"/>
        <v>132</v>
      </c>
      <c r="J125">
        <f t="shared" si="24"/>
        <v>125.39999999999999</v>
      </c>
      <c r="K125">
        <f t="shared" si="25"/>
        <v>122.1</v>
      </c>
      <c r="L125">
        <f t="shared" si="26"/>
        <v>118.8</v>
      </c>
      <c r="N125">
        <v>33.9</v>
      </c>
      <c r="O125">
        <v>7.24</v>
      </c>
      <c r="P125">
        <f t="shared" si="27"/>
        <v>48.379999999999995</v>
      </c>
      <c r="Q125">
        <f t="shared" si="28"/>
        <v>41.14</v>
      </c>
      <c r="R125">
        <f t="shared" si="29"/>
        <v>26.659999999999997</v>
      </c>
      <c r="S125">
        <f t="shared" si="30"/>
        <v>19.419999999999998</v>
      </c>
      <c r="AC125">
        <v>13.8</v>
      </c>
      <c r="AD125">
        <v>17</v>
      </c>
      <c r="AE125">
        <v>23.9</v>
      </c>
    </row>
    <row r="126" spans="1:31" x14ac:dyDescent="0.15">
      <c r="A126">
        <f t="shared" si="32"/>
        <v>10</v>
      </c>
      <c r="B126" s="2">
        <v>4</v>
      </c>
      <c r="C126" s="3">
        <f t="shared" si="20"/>
        <v>10.333333333333334</v>
      </c>
      <c r="E126">
        <v>139.19999999999999</v>
      </c>
      <c r="F126">
        <v>6.7</v>
      </c>
      <c r="G126">
        <f t="shared" si="21"/>
        <v>152.6</v>
      </c>
      <c r="H126">
        <f t="shared" si="22"/>
        <v>145.89999999999998</v>
      </c>
      <c r="I126">
        <f t="shared" si="23"/>
        <v>132.5</v>
      </c>
      <c r="J126">
        <f t="shared" si="24"/>
        <v>125.79999999999998</v>
      </c>
      <c r="K126">
        <f t="shared" si="25"/>
        <v>122.44999999999999</v>
      </c>
      <c r="L126">
        <f t="shared" si="26"/>
        <v>119.1</v>
      </c>
      <c r="N126">
        <v>34.200000000000003</v>
      </c>
      <c r="O126">
        <v>7.33</v>
      </c>
      <c r="P126">
        <f t="shared" si="27"/>
        <v>48.86</v>
      </c>
      <c r="Q126">
        <f t="shared" si="28"/>
        <v>41.53</v>
      </c>
      <c r="R126">
        <f t="shared" si="29"/>
        <v>26.870000000000005</v>
      </c>
      <c r="S126">
        <f t="shared" si="30"/>
        <v>19.540000000000003</v>
      </c>
      <c r="AC126">
        <v>13.8</v>
      </c>
      <c r="AD126">
        <v>17.100000000000001</v>
      </c>
      <c r="AE126">
        <v>24</v>
      </c>
    </row>
    <row r="127" spans="1:31" x14ac:dyDescent="0.15">
      <c r="A127">
        <f t="shared" si="32"/>
        <v>10</v>
      </c>
      <c r="B127" s="2">
        <v>5</v>
      </c>
      <c r="C127" s="3">
        <f t="shared" si="20"/>
        <v>10.416666666666666</v>
      </c>
      <c r="E127">
        <v>139.69999999999999</v>
      </c>
      <c r="F127">
        <v>6.7</v>
      </c>
      <c r="G127">
        <f t="shared" si="21"/>
        <v>153.1</v>
      </c>
      <c r="H127">
        <f t="shared" si="22"/>
        <v>146.39999999999998</v>
      </c>
      <c r="I127">
        <f t="shared" si="23"/>
        <v>133</v>
      </c>
      <c r="J127">
        <f t="shared" si="24"/>
        <v>126.29999999999998</v>
      </c>
      <c r="K127">
        <f t="shared" si="25"/>
        <v>122.94999999999999</v>
      </c>
      <c r="L127">
        <f t="shared" si="26"/>
        <v>119.6</v>
      </c>
      <c r="N127">
        <v>34.6</v>
      </c>
      <c r="O127">
        <v>7.42</v>
      </c>
      <c r="P127">
        <f t="shared" si="27"/>
        <v>49.44</v>
      </c>
      <c r="Q127">
        <f t="shared" si="28"/>
        <v>42.02</v>
      </c>
      <c r="R127">
        <f t="shared" si="29"/>
        <v>27.18</v>
      </c>
      <c r="S127">
        <f t="shared" si="30"/>
        <v>19.760000000000002</v>
      </c>
      <c r="AC127">
        <v>13.8</v>
      </c>
      <c r="AD127">
        <v>17.100000000000001</v>
      </c>
      <c r="AE127">
        <v>24.1</v>
      </c>
    </row>
    <row r="128" spans="1:31" x14ac:dyDescent="0.15">
      <c r="A128">
        <f t="shared" si="32"/>
        <v>10</v>
      </c>
      <c r="B128" s="2">
        <v>6</v>
      </c>
      <c r="C128" s="3">
        <f t="shared" si="20"/>
        <v>10.5</v>
      </c>
      <c r="E128">
        <v>140.30000000000001</v>
      </c>
      <c r="F128">
        <v>6.8</v>
      </c>
      <c r="G128">
        <f t="shared" si="21"/>
        <v>153.9</v>
      </c>
      <c r="H128">
        <f t="shared" si="22"/>
        <v>147.10000000000002</v>
      </c>
      <c r="I128">
        <f t="shared" si="23"/>
        <v>133.5</v>
      </c>
      <c r="J128">
        <f t="shared" si="24"/>
        <v>126.70000000000002</v>
      </c>
      <c r="K128">
        <f t="shared" si="25"/>
        <v>123.30000000000001</v>
      </c>
      <c r="L128">
        <f t="shared" si="26"/>
        <v>119.9</v>
      </c>
      <c r="N128">
        <v>34.9</v>
      </c>
      <c r="O128">
        <v>7.51</v>
      </c>
      <c r="P128">
        <f t="shared" si="27"/>
        <v>49.92</v>
      </c>
      <c r="Q128">
        <f t="shared" si="28"/>
        <v>42.41</v>
      </c>
      <c r="R128">
        <f t="shared" si="29"/>
        <v>27.39</v>
      </c>
      <c r="S128">
        <f t="shared" si="30"/>
        <v>19.88</v>
      </c>
      <c r="AC128">
        <v>13.9</v>
      </c>
      <c r="AD128">
        <v>17.2</v>
      </c>
      <c r="AE128">
        <v>24.1</v>
      </c>
    </row>
    <row r="129" spans="1:31" x14ac:dyDescent="0.15">
      <c r="A129">
        <f t="shared" si="32"/>
        <v>10</v>
      </c>
      <c r="B129" s="2">
        <v>7</v>
      </c>
      <c r="C129" s="3">
        <f t="shared" si="20"/>
        <v>10.583333333333334</v>
      </c>
      <c r="E129">
        <v>140.9</v>
      </c>
      <c r="F129">
        <v>6.8</v>
      </c>
      <c r="G129">
        <f t="shared" si="21"/>
        <v>154.5</v>
      </c>
      <c r="H129">
        <f t="shared" si="22"/>
        <v>147.70000000000002</v>
      </c>
      <c r="I129">
        <f t="shared" si="23"/>
        <v>134.1</v>
      </c>
      <c r="J129">
        <f t="shared" si="24"/>
        <v>127.30000000000001</v>
      </c>
      <c r="K129">
        <f t="shared" si="25"/>
        <v>123.9</v>
      </c>
      <c r="L129">
        <f t="shared" si="26"/>
        <v>120.5</v>
      </c>
      <c r="N129">
        <v>35.299999999999997</v>
      </c>
      <c r="O129">
        <v>7.58</v>
      </c>
      <c r="P129">
        <f t="shared" si="27"/>
        <v>50.459999999999994</v>
      </c>
      <c r="Q129">
        <f t="shared" si="28"/>
        <v>42.879999999999995</v>
      </c>
      <c r="R129">
        <f t="shared" si="29"/>
        <v>27.72</v>
      </c>
      <c r="S129">
        <f t="shared" si="30"/>
        <v>20.139999999999997</v>
      </c>
      <c r="AC129">
        <v>13.9</v>
      </c>
      <c r="AD129">
        <v>17.2</v>
      </c>
      <c r="AE129">
        <v>24.2</v>
      </c>
    </row>
    <row r="130" spans="1:31" x14ac:dyDescent="0.15">
      <c r="A130">
        <f t="shared" si="32"/>
        <v>10</v>
      </c>
      <c r="B130" s="2">
        <v>8</v>
      </c>
      <c r="C130" s="3">
        <f t="shared" ref="C130:C193" si="33">A130+B130/12</f>
        <v>10.666666666666666</v>
      </c>
      <c r="E130">
        <v>141.4</v>
      </c>
      <c r="F130">
        <v>6.8</v>
      </c>
      <c r="G130">
        <f t="shared" ref="G130:G193" si="34">$E130+2*$F130</f>
        <v>155</v>
      </c>
      <c r="H130">
        <f t="shared" ref="H130:H193" si="35">$E130+$F130</f>
        <v>148.20000000000002</v>
      </c>
      <c r="I130">
        <f t="shared" ref="I130:I193" si="36">$E130-$F130</f>
        <v>134.6</v>
      </c>
      <c r="J130">
        <f t="shared" ref="J130:J193" si="37">$E130-2*$F130</f>
        <v>127.80000000000001</v>
      </c>
      <c r="K130">
        <f t="shared" ref="K130:K193" si="38">$E130-2.5*$F130</f>
        <v>124.4</v>
      </c>
      <c r="L130">
        <f t="shared" ref="L130:L193" si="39">$E130-3*$F130</f>
        <v>121</v>
      </c>
      <c r="N130">
        <v>35.799999999999997</v>
      </c>
      <c r="O130">
        <v>7.65</v>
      </c>
      <c r="P130">
        <f t="shared" ref="P130:P193" si="40">$N130+2*$O130</f>
        <v>51.099999999999994</v>
      </c>
      <c r="Q130">
        <f t="shared" ref="Q130:Q193" si="41">$N130+$O130</f>
        <v>43.449999999999996</v>
      </c>
      <c r="R130">
        <f t="shared" ref="R130:R193" si="42">$N130-$O130</f>
        <v>28.15</v>
      </c>
      <c r="S130">
        <f t="shared" ref="S130:S193" si="43">$N130-2*$O130</f>
        <v>20.499999999999996</v>
      </c>
      <c r="AC130">
        <v>14</v>
      </c>
      <c r="AD130">
        <v>17.3</v>
      </c>
      <c r="AE130">
        <v>24.3</v>
      </c>
    </row>
    <row r="131" spans="1:31" x14ac:dyDescent="0.15">
      <c r="A131">
        <f t="shared" si="32"/>
        <v>10</v>
      </c>
      <c r="B131" s="2">
        <v>9</v>
      </c>
      <c r="C131" s="3">
        <f t="shared" si="33"/>
        <v>10.75</v>
      </c>
      <c r="E131">
        <v>142</v>
      </c>
      <c r="F131">
        <v>6.8</v>
      </c>
      <c r="G131">
        <f t="shared" si="34"/>
        <v>155.6</v>
      </c>
      <c r="H131">
        <f t="shared" si="35"/>
        <v>148.80000000000001</v>
      </c>
      <c r="I131">
        <f t="shared" si="36"/>
        <v>135.19999999999999</v>
      </c>
      <c r="J131">
        <f t="shared" si="37"/>
        <v>128.4</v>
      </c>
      <c r="K131">
        <f t="shared" si="38"/>
        <v>125</v>
      </c>
      <c r="L131">
        <f t="shared" si="39"/>
        <v>121.6</v>
      </c>
      <c r="N131">
        <v>36.200000000000003</v>
      </c>
      <c r="O131">
        <v>7.72</v>
      </c>
      <c r="P131">
        <f t="shared" si="40"/>
        <v>51.64</v>
      </c>
      <c r="Q131">
        <f t="shared" si="41"/>
        <v>43.92</v>
      </c>
      <c r="R131">
        <f t="shared" si="42"/>
        <v>28.480000000000004</v>
      </c>
      <c r="S131">
        <f t="shared" si="43"/>
        <v>20.760000000000005</v>
      </c>
      <c r="AC131">
        <v>14</v>
      </c>
      <c r="AD131">
        <v>17.399999999999999</v>
      </c>
      <c r="AE131">
        <v>24.3</v>
      </c>
    </row>
    <row r="132" spans="1:31" x14ac:dyDescent="0.15">
      <c r="A132">
        <f t="shared" si="32"/>
        <v>10</v>
      </c>
      <c r="B132" s="2">
        <v>10</v>
      </c>
      <c r="C132" s="3">
        <f t="shared" si="33"/>
        <v>10.833333333333334</v>
      </c>
      <c r="E132">
        <v>142.6</v>
      </c>
      <c r="F132">
        <v>6.8</v>
      </c>
      <c r="G132">
        <f t="shared" si="34"/>
        <v>156.19999999999999</v>
      </c>
      <c r="H132">
        <f t="shared" si="35"/>
        <v>149.4</v>
      </c>
      <c r="I132">
        <f t="shared" si="36"/>
        <v>135.79999999999998</v>
      </c>
      <c r="J132">
        <f t="shared" si="37"/>
        <v>129</v>
      </c>
      <c r="K132">
        <f t="shared" si="38"/>
        <v>125.6</v>
      </c>
      <c r="L132">
        <f t="shared" si="39"/>
        <v>122.19999999999999</v>
      </c>
      <c r="N132">
        <v>36.6</v>
      </c>
      <c r="O132">
        <v>7.79</v>
      </c>
      <c r="P132">
        <f t="shared" si="40"/>
        <v>52.18</v>
      </c>
      <c r="Q132">
        <f t="shared" si="41"/>
        <v>44.39</v>
      </c>
      <c r="R132">
        <f t="shared" si="42"/>
        <v>28.810000000000002</v>
      </c>
      <c r="S132">
        <f t="shared" si="43"/>
        <v>21.020000000000003</v>
      </c>
      <c r="AC132">
        <v>14</v>
      </c>
      <c r="AD132">
        <v>17.399999999999999</v>
      </c>
      <c r="AE132">
        <v>24.4</v>
      </c>
    </row>
    <row r="133" spans="1:31" x14ac:dyDescent="0.15">
      <c r="A133">
        <f t="shared" si="32"/>
        <v>10</v>
      </c>
      <c r="B133" s="2">
        <v>11</v>
      </c>
      <c r="C133" s="3">
        <f t="shared" si="33"/>
        <v>10.916666666666666</v>
      </c>
      <c r="E133">
        <v>143.1</v>
      </c>
      <c r="F133">
        <v>6.7</v>
      </c>
      <c r="G133">
        <f t="shared" si="34"/>
        <v>156.5</v>
      </c>
      <c r="H133">
        <f t="shared" si="35"/>
        <v>149.79999999999998</v>
      </c>
      <c r="I133">
        <f t="shared" si="36"/>
        <v>136.4</v>
      </c>
      <c r="J133">
        <f t="shared" si="37"/>
        <v>129.69999999999999</v>
      </c>
      <c r="K133">
        <f t="shared" si="38"/>
        <v>126.35</v>
      </c>
      <c r="L133">
        <f t="shared" si="39"/>
        <v>123</v>
      </c>
      <c r="N133">
        <v>37.1</v>
      </c>
      <c r="O133">
        <v>7.86</v>
      </c>
      <c r="P133">
        <f t="shared" si="40"/>
        <v>52.82</v>
      </c>
      <c r="Q133">
        <f t="shared" si="41"/>
        <v>44.96</v>
      </c>
      <c r="R133">
        <f t="shared" si="42"/>
        <v>29.240000000000002</v>
      </c>
      <c r="S133">
        <f t="shared" si="43"/>
        <v>21.380000000000003</v>
      </c>
      <c r="AC133">
        <v>14.1</v>
      </c>
      <c r="AD133">
        <v>17.5</v>
      </c>
      <c r="AE133">
        <v>24.5</v>
      </c>
    </row>
    <row r="134" spans="1:31" x14ac:dyDescent="0.15">
      <c r="A134">
        <f t="shared" ref="A134:A165" si="44">A122+1</f>
        <v>11</v>
      </c>
      <c r="B134" s="2">
        <v>0</v>
      </c>
      <c r="C134" s="3">
        <f t="shared" si="33"/>
        <v>11</v>
      </c>
      <c r="E134">
        <v>143.69999999999999</v>
      </c>
      <c r="F134">
        <v>6.7</v>
      </c>
      <c r="G134">
        <f t="shared" si="34"/>
        <v>157.1</v>
      </c>
      <c r="H134">
        <f t="shared" si="35"/>
        <v>150.39999999999998</v>
      </c>
      <c r="I134">
        <f t="shared" si="36"/>
        <v>137</v>
      </c>
      <c r="J134">
        <f t="shared" si="37"/>
        <v>130.29999999999998</v>
      </c>
      <c r="K134">
        <f t="shared" si="38"/>
        <v>126.94999999999999</v>
      </c>
      <c r="L134">
        <f t="shared" si="39"/>
        <v>123.6</v>
      </c>
      <c r="N134">
        <v>37.5</v>
      </c>
      <c r="O134">
        <v>7.93</v>
      </c>
      <c r="P134">
        <f t="shared" si="40"/>
        <v>53.36</v>
      </c>
      <c r="Q134">
        <f t="shared" si="41"/>
        <v>45.43</v>
      </c>
      <c r="R134">
        <f t="shared" si="42"/>
        <v>29.57</v>
      </c>
      <c r="S134">
        <f t="shared" si="43"/>
        <v>21.64</v>
      </c>
      <c r="AC134">
        <v>14.1</v>
      </c>
      <c r="AD134">
        <v>17.5</v>
      </c>
      <c r="AE134">
        <v>24.5</v>
      </c>
    </row>
    <row r="135" spans="1:31" x14ac:dyDescent="0.15">
      <c r="A135">
        <f t="shared" si="44"/>
        <v>11</v>
      </c>
      <c r="B135" s="2">
        <v>1</v>
      </c>
      <c r="C135" s="3">
        <f t="shared" si="33"/>
        <v>11.083333333333334</v>
      </c>
      <c r="E135">
        <v>144.30000000000001</v>
      </c>
      <c r="F135">
        <v>6.7</v>
      </c>
      <c r="G135">
        <f t="shared" si="34"/>
        <v>157.70000000000002</v>
      </c>
      <c r="H135">
        <f t="shared" si="35"/>
        <v>151</v>
      </c>
      <c r="I135">
        <f t="shared" si="36"/>
        <v>137.60000000000002</v>
      </c>
      <c r="J135">
        <f t="shared" si="37"/>
        <v>130.9</v>
      </c>
      <c r="K135">
        <f t="shared" si="38"/>
        <v>127.55000000000001</v>
      </c>
      <c r="L135">
        <f t="shared" si="39"/>
        <v>124.20000000000002</v>
      </c>
      <c r="N135">
        <v>37.9</v>
      </c>
      <c r="O135">
        <v>8</v>
      </c>
      <c r="P135">
        <f t="shared" si="40"/>
        <v>53.9</v>
      </c>
      <c r="Q135">
        <f t="shared" si="41"/>
        <v>45.9</v>
      </c>
      <c r="R135">
        <f t="shared" si="42"/>
        <v>29.9</v>
      </c>
      <c r="S135">
        <f t="shared" si="43"/>
        <v>21.9</v>
      </c>
      <c r="AC135">
        <v>14.2</v>
      </c>
      <c r="AD135">
        <v>17.600000000000001</v>
      </c>
      <c r="AE135">
        <v>24.6</v>
      </c>
    </row>
    <row r="136" spans="1:31" x14ac:dyDescent="0.15">
      <c r="A136">
        <f t="shared" si="44"/>
        <v>11</v>
      </c>
      <c r="B136" s="2">
        <v>2</v>
      </c>
      <c r="C136" s="3">
        <f t="shared" si="33"/>
        <v>11.166666666666666</v>
      </c>
      <c r="E136">
        <v>144.80000000000001</v>
      </c>
      <c r="F136">
        <v>6.7</v>
      </c>
      <c r="G136">
        <f t="shared" si="34"/>
        <v>158.20000000000002</v>
      </c>
      <c r="H136">
        <f t="shared" si="35"/>
        <v>151.5</v>
      </c>
      <c r="I136">
        <f t="shared" si="36"/>
        <v>138.10000000000002</v>
      </c>
      <c r="J136">
        <f t="shared" si="37"/>
        <v>131.4</v>
      </c>
      <c r="K136">
        <f t="shared" si="38"/>
        <v>128.05000000000001</v>
      </c>
      <c r="L136">
        <f t="shared" si="39"/>
        <v>124.70000000000002</v>
      </c>
      <c r="N136">
        <v>38.4</v>
      </c>
      <c r="O136">
        <v>8.07</v>
      </c>
      <c r="P136">
        <f t="shared" si="40"/>
        <v>54.54</v>
      </c>
      <c r="Q136">
        <f t="shared" si="41"/>
        <v>46.47</v>
      </c>
      <c r="R136">
        <f t="shared" si="42"/>
        <v>30.33</v>
      </c>
      <c r="S136">
        <f t="shared" si="43"/>
        <v>22.259999999999998</v>
      </c>
      <c r="AC136">
        <v>14.2</v>
      </c>
      <c r="AD136">
        <v>17.7</v>
      </c>
      <c r="AE136">
        <v>24.7</v>
      </c>
    </row>
    <row r="137" spans="1:31" x14ac:dyDescent="0.15">
      <c r="A137">
        <f t="shared" si="44"/>
        <v>11</v>
      </c>
      <c r="B137" s="2">
        <v>3</v>
      </c>
      <c r="C137" s="3">
        <f t="shared" si="33"/>
        <v>11.25</v>
      </c>
      <c r="E137">
        <v>145.4</v>
      </c>
      <c r="F137">
        <v>6.7</v>
      </c>
      <c r="G137">
        <f t="shared" si="34"/>
        <v>158.80000000000001</v>
      </c>
      <c r="H137">
        <f t="shared" si="35"/>
        <v>152.1</v>
      </c>
      <c r="I137">
        <f t="shared" si="36"/>
        <v>138.70000000000002</v>
      </c>
      <c r="J137">
        <f t="shared" si="37"/>
        <v>132</v>
      </c>
      <c r="K137">
        <f t="shared" si="38"/>
        <v>128.65</v>
      </c>
      <c r="L137">
        <f t="shared" si="39"/>
        <v>125.30000000000001</v>
      </c>
      <c r="N137">
        <v>38.799999999999997</v>
      </c>
      <c r="O137">
        <v>8.14</v>
      </c>
      <c r="P137">
        <f t="shared" si="40"/>
        <v>55.08</v>
      </c>
      <c r="Q137">
        <f t="shared" si="41"/>
        <v>46.94</v>
      </c>
      <c r="R137">
        <f t="shared" si="42"/>
        <v>30.659999999999997</v>
      </c>
      <c r="S137">
        <f t="shared" si="43"/>
        <v>22.519999999999996</v>
      </c>
      <c r="AC137">
        <v>14.3</v>
      </c>
      <c r="AD137">
        <v>17.7</v>
      </c>
      <c r="AE137">
        <v>24.8</v>
      </c>
    </row>
    <row r="138" spans="1:31" x14ac:dyDescent="0.15">
      <c r="A138">
        <f t="shared" si="44"/>
        <v>11</v>
      </c>
      <c r="B138" s="2">
        <v>4</v>
      </c>
      <c r="C138" s="3">
        <f t="shared" si="33"/>
        <v>11.333333333333334</v>
      </c>
      <c r="E138">
        <v>146</v>
      </c>
      <c r="F138">
        <v>6.7</v>
      </c>
      <c r="G138">
        <f t="shared" si="34"/>
        <v>159.4</v>
      </c>
      <c r="H138">
        <f t="shared" si="35"/>
        <v>152.69999999999999</v>
      </c>
      <c r="I138">
        <f t="shared" si="36"/>
        <v>139.30000000000001</v>
      </c>
      <c r="J138">
        <f t="shared" si="37"/>
        <v>132.6</v>
      </c>
      <c r="K138">
        <f t="shared" si="38"/>
        <v>129.25</v>
      </c>
      <c r="L138">
        <f t="shared" si="39"/>
        <v>125.9</v>
      </c>
      <c r="N138">
        <v>39.200000000000003</v>
      </c>
      <c r="O138">
        <v>8.2100000000000009</v>
      </c>
      <c r="P138">
        <f t="shared" si="40"/>
        <v>55.620000000000005</v>
      </c>
      <c r="Q138">
        <f t="shared" si="41"/>
        <v>47.410000000000004</v>
      </c>
      <c r="R138">
        <f t="shared" si="42"/>
        <v>30.990000000000002</v>
      </c>
      <c r="S138">
        <f t="shared" si="43"/>
        <v>22.78</v>
      </c>
      <c r="AC138">
        <v>14.3</v>
      </c>
      <c r="AD138">
        <v>17.8</v>
      </c>
      <c r="AE138">
        <v>24.8</v>
      </c>
    </row>
    <row r="139" spans="1:31" x14ac:dyDescent="0.15">
      <c r="A139">
        <f t="shared" si="44"/>
        <v>11</v>
      </c>
      <c r="B139" s="2">
        <v>5</v>
      </c>
      <c r="C139" s="3">
        <f t="shared" si="33"/>
        <v>11.416666666666666</v>
      </c>
      <c r="E139">
        <v>146.5</v>
      </c>
      <c r="F139">
        <v>6.7</v>
      </c>
      <c r="G139">
        <f t="shared" si="34"/>
        <v>159.9</v>
      </c>
      <c r="H139">
        <f t="shared" si="35"/>
        <v>153.19999999999999</v>
      </c>
      <c r="I139">
        <f t="shared" si="36"/>
        <v>139.80000000000001</v>
      </c>
      <c r="J139">
        <f t="shared" si="37"/>
        <v>133.1</v>
      </c>
      <c r="K139">
        <f t="shared" si="38"/>
        <v>129.75</v>
      </c>
      <c r="L139">
        <f t="shared" si="39"/>
        <v>126.4</v>
      </c>
      <c r="N139">
        <v>39.700000000000003</v>
      </c>
      <c r="O139">
        <v>8.2799999999999994</v>
      </c>
      <c r="P139">
        <f t="shared" si="40"/>
        <v>56.260000000000005</v>
      </c>
      <c r="Q139">
        <f t="shared" si="41"/>
        <v>47.980000000000004</v>
      </c>
      <c r="R139">
        <f t="shared" si="42"/>
        <v>31.42</v>
      </c>
      <c r="S139">
        <f t="shared" si="43"/>
        <v>23.140000000000004</v>
      </c>
      <c r="AC139">
        <v>14.4</v>
      </c>
      <c r="AD139">
        <v>17.899999999999999</v>
      </c>
      <c r="AE139">
        <v>24.9</v>
      </c>
    </row>
    <row r="140" spans="1:31" x14ac:dyDescent="0.15">
      <c r="A140">
        <f t="shared" si="44"/>
        <v>11</v>
      </c>
      <c r="B140" s="2">
        <v>6</v>
      </c>
      <c r="C140" s="3">
        <f t="shared" si="33"/>
        <v>11.5</v>
      </c>
      <c r="E140">
        <v>147.1</v>
      </c>
      <c r="F140">
        <v>6.7</v>
      </c>
      <c r="G140">
        <f t="shared" si="34"/>
        <v>160.5</v>
      </c>
      <c r="H140">
        <f t="shared" si="35"/>
        <v>153.79999999999998</v>
      </c>
      <c r="I140">
        <f t="shared" si="36"/>
        <v>140.4</v>
      </c>
      <c r="J140">
        <f t="shared" si="37"/>
        <v>133.69999999999999</v>
      </c>
      <c r="K140">
        <f t="shared" si="38"/>
        <v>130.35</v>
      </c>
      <c r="L140">
        <f t="shared" si="39"/>
        <v>127</v>
      </c>
      <c r="N140">
        <v>40.1</v>
      </c>
      <c r="O140">
        <v>8.35</v>
      </c>
      <c r="P140">
        <f t="shared" si="40"/>
        <v>56.8</v>
      </c>
      <c r="Q140">
        <f t="shared" si="41"/>
        <v>48.45</v>
      </c>
      <c r="R140">
        <f t="shared" si="42"/>
        <v>31.75</v>
      </c>
      <c r="S140">
        <f t="shared" si="43"/>
        <v>23.400000000000002</v>
      </c>
      <c r="AC140">
        <v>14.4</v>
      </c>
      <c r="AD140">
        <v>17.899999999999999</v>
      </c>
      <c r="AE140">
        <v>25</v>
      </c>
    </row>
    <row r="141" spans="1:31" x14ac:dyDescent="0.15">
      <c r="A141">
        <f t="shared" si="44"/>
        <v>11</v>
      </c>
      <c r="B141" s="2">
        <v>7</v>
      </c>
      <c r="C141" s="3">
        <f t="shared" si="33"/>
        <v>11.583333333333334</v>
      </c>
      <c r="E141">
        <v>147.5</v>
      </c>
      <c r="F141">
        <v>6.6</v>
      </c>
      <c r="G141">
        <f t="shared" si="34"/>
        <v>160.69999999999999</v>
      </c>
      <c r="H141">
        <f t="shared" si="35"/>
        <v>154.1</v>
      </c>
      <c r="I141">
        <f t="shared" si="36"/>
        <v>140.9</v>
      </c>
      <c r="J141">
        <f t="shared" si="37"/>
        <v>134.30000000000001</v>
      </c>
      <c r="K141">
        <f t="shared" si="38"/>
        <v>131</v>
      </c>
      <c r="L141">
        <f t="shared" si="39"/>
        <v>127.7</v>
      </c>
      <c r="N141">
        <v>40.5</v>
      </c>
      <c r="O141">
        <v>8.3699999999999992</v>
      </c>
      <c r="P141">
        <f t="shared" si="40"/>
        <v>57.239999999999995</v>
      </c>
      <c r="Q141">
        <f t="shared" si="41"/>
        <v>48.87</v>
      </c>
      <c r="R141">
        <f t="shared" si="42"/>
        <v>32.130000000000003</v>
      </c>
      <c r="S141">
        <f t="shared" si="43"/>
        <v>23.76</v>
      </c>
      <c r="AC141">
        <v>14.4</v>
      </c>
      <c r="AD141">
        <v>18</v>
      </c>
      <c r="AE141">
        <v>25</v>
      </c>
    </row>
    <row r="142" spans="1:31" x14ac:dyDescent="0.15">
      <c r="A142">
        <f t="shared" si="44"/>
        <v>11</v>
      </c>
      <c r="B142" s="2">
        <v>8</v>
      </c>
      <c r="C142" s="3">
        <f t="shared" si="33"/>
        <v>11.666666666666666</v>
      </c>
      <c r="E142">
        <v>147.9</v>
      </c>
      <c r="F142">
        <v>6.5</v>
      </c>
      <c r="G142">
        <f t="shared" si="34"/>
        <v>160.9</v>
      </c>
      <c r="H142">
        <f t="shared" si="35"/>
        <v>154.4</v>
      </c>
      <c r="I142">
        <f t="shared" si="36"/>
        <v>141.4</v>
      </c>
      <c r="J142">
        <f t="shared" si="37"/>
        <v>134.9</v>
      </c>
      <c r="K142">
        <f t="shared" si="38"/>
        <v>131.65</v>
      </c>
      <c r="L142">
        <f t="shared" si="39"/>
        <v>128.4</v>
      </c>
      <c r="N142">
        <v>40.9</v>
      </c>
      <c r="O142">
        <v>8.39</v>
      </c>
      <c r="P142">
        <f t="shared" si="40"/>
        <v>57.68</v>
      </c>
      <c r="Q142">
        <f t="shared" si="41"/>
        <v>49.29</v>
      </c>
      <c r="R142">
        <f t="shared" si="42"/>
        <v>32.51</v>
      </c>
      <c r="S142">
        <f t="shared" si="43"/>
        <v>24.119999999999997</v>
      </c>
      <c r="AC142">
        <v>14.5</v>
      </c>
      <c r="AD142">
        <v>18.100000000000001</v>
      </c>
      <c r="AE142">
        <v>25.1</v>
      </c>
    </row>
    <row r="143" spans="1:31" x14ac:dyDescent="0.15">
      <c r="A143">
        <f t="shared" si="44"/>
        <v>11</v>
      </c>
      <c r="B143" s="2">
        <v>9</v>
      </c>
      <c r="C143" s="3">
        <f t="shared" si="33"/>
        <v>11.75</v>
      </c>
      <c r="E143">
        <v>148.4</v>
      </c>
      <c r="F143">
        <v>6.5</v>
      </c>
      <c r="G143">
        <f t="shared" si="34"/>
        <v>161.4</v>
      </c>
      <c r="H143">
        <f t="shared" si="35"/>
        <v>154.9</v>
      </c>
      <c r="I143">
        <f t="shared" si="36"/>
        <v>141.9</v>
      </c>
      <c r="J143">
        <f t="shared" si="37"/>
        <v>135.4</v>
      </c>
      <c r="K143">
        <f t="shared" si="38"/>
        <v>132.15</v>
      </c>
      <c r="L143">
        <f t="shared" si="39"/>
        <v>128.9</v>
      </c>
      <c r="N143">
        <v>41.3</v>
      </c>
      <c r="O143">
        <v>8.41</v>
      </c>
      <c r="P143">
        <f t="shared" si="40"/>
        <v>58.12</v>
      </c>
      <c r="Q143">
        <f t="shared" si="41"/>
        <v>49.709999999999994</v>
      </c>
      <c r="R143">
        <f t="shared" si="42"/>
        <v>32.89</v>
      </c>
      <c r="S143">
        <f t="shared" si="43"/>
        <v>24.479999999999997</v>
      </c>
      <c r="AC143">
        <v>14.5</v>
      </c>
      <c r="AD143">
        <v>18.100000000000001</v>
      </c>
      <c r="AE143">
        <v>25.2</v>
      </c>
    </row>
    <row r="144" spans="1:31" x14ac:dyDescent="0.15">
      <c r="A144">
        <f t="shared" si="44"/>
        <v>11</v>
      </c>
      <c r="B144" s="2">
        <v>10</v>
      </c>
      <c r="C144" s="3">
        <f t="shared" si="33"/>
        <v>11.833333333333334</v>
      </c>
      <c r="E144">
        <v>148.80000000000001</v>
      </c>
      <c r="F144">
        <v>6.4</v>
      </c>
      <c r="G144">
        <f t="shared" si="34"/>
        <v>161.60000000000002</v>
      </c>
      <c r="H144">
        <f t="shared" si="35"/>
        <v>155.20000000000002</v>
      </c>
      <c r="I144">
        <f t="shared" si="36"/>
        <v>142.4</v>
      </c>
      <c r="J144">
        <f t="shared" si="37"/>
        <v>136</v>
      </c>
      <c r="K144">
        <f t="shared" si="38"/>
        <v>132.80000000000001</v>
      </c>
      <c r="L144">
        <f t="shared" si="39"/>
        <v>129.60000000000002</v>
      </c>
      <c r="N144">
        <v>41.7</v>
      </c>
      <c r="O144">
        <v>8.43</v>
      </c>
      <c r="P144">
        <f t="shared" si="40"/>
        <v>58.56</v>
      </c>
      <c r="Q144">
        <f t="shared" si="41"/>
        <v>50.13</v>
      </c>
      <c r="R144">
        <f t="shared" si="42"/>
        <v>33.270000000000003</v>
      </c>
      <c r="S144">
        <f t="shared" si="43"/>
        <v>24.840000000000003</v>
      </c>
      <c r="AC144">
        <v>14.6</v>
      </c>
      <c r="AD144">
        <v>18.2</v>
      </c>
      <c r="AE144">
        <v>25.3</v>
      </c>
    </row>
    <row r="145" spans="1:31" x14ac:dyDescent="0.15">
      <c r="A145">
        <f t="shared" si="44"/>
        <v>11</v>
      </c>
      <c r="B145" s="2">
        <v>11</v>
      </c>
      <c r="C145" s="3">
        <f t="shared" si="33"/>
        <v>11.916666666666666</v>
      </c>
      <c r="E145">
        <v>149.19999999999999</v>
      </c>
      <c r="F145">
        <v>6.4</v>
      </c>
      <c r="G145">
        <f t="shared" si="34"/>
        <v>162</v>
      </c>
      <c r="H145">
        <f t="shared" si="35"/>
        <v>155.6</v>
      </c>
      <c r="I145">
        <f t="shared" si="36"/>
        <v>142.79999999999998</v>
      </c>
      <c r="J145">
        <f t="shared" si="37"/>
        <v>136.39999999999998</v>
      </c>
      <c r="K145">
        <f t="shared" si="38"/>
        <v>133.19999999999999</v>
      </c>
      <c r="L145">
        <f t="shared" si="39"/>
        <v>130</v>
      </c>
      <c r="N145">
        <v>42.1</v>
      </c>
      <c r="O145">
        <v>8.4499999999999993</v>
      </c>
      <c r="P145">
        <f t="shared" si="40"/>
        <v>59</v>
      </c>
      <c r="Q145">
        <f t="shared" si="41"/>
        <v>50.55</v>
      </c>
      <c r="R145">
        <f t="shared" si="42"/>
        <v>33.650000000000006</v>
      </c>
      <c r="S145">
        <f t="shared" si="43"/>
        <v>25.200000000000003</v>
      </c>
      <c r="AC145">
        <v>14.6</v>
      </c>
      <c r="AD145">
        <v>18.3</v>
      </c>
      <c r="AE145">
        <v>25.3</v>
      </c>
    </row>
    <row r="146" spans="1:31" x14ac:dyDescent="0.15">
      <c r="A146">
        <f t="shared" si="44"/>
        <v>12</v>
      </c>
      <c r="B146" s="2">
        <v>0</v>
      </c>
      <c r="C146" s="3">
        <f t="shared" si="33"/>
        <v>12</v>
      </c>
      <c r="E146">
        <v>149.6</v>
      </c>
      <c r="F146">
        <v>6.3</v>
      </c>
      <c r="G146">
        <f t="shared" si="34"/>
        <v>162.19999999999999</v>
      </c>
      <c r="H146">
        <f t="shared" si="35"/>
        <v>155.9</v>
      </c>
      <c r="I146">
        <f t="shared" si="36"/>
        <v>143.29999999999998</v>
      </c>
      <c r="J146">
        <f t="shared" si="37"/>
        <v>137</v>
      </c>
      <c r="K146">
        <f t="shared" si="38"/>
        <v>133.85</v>
      </c>
      <c r="L146">
        <f t="shared" si="39"/>
        <v>130.69999999999999</v>
      </c>
      <c r="N146">
        <v>42.6</v>
      </c>
      <c r="O146">
        <v>8.4700000000000006</v>
      </c>
      <c r="P146">
        <f t="shared" si="40"/>
        <v>59.540000000000006</v>
      </c>
      <c r="Q146">
        <f t="shared" si="41"/>
        <v>51.07</v>
      </c>
      <c r="R146">
        <f t="shared" si="42"/>
        <v>34.130000000000003</v>
      </c>
      <c r="S146">
        <f t="shared" si="43"/>
        <v>25.66</v>
      </c>
      <c r="AC146">
        <v>14.7</v>
      </c>
      <c r="AD146">
        <v>18.399999999999999</v>
      </c>
      <c r="AE146">
        <v>25.4</v>
      </c>
    </row>
    <row r="147" spans="1:31" x14ac:dyDescent="0.15">
      <c r="A147">
        <f t="shared" si="44"/>
        <v>12</v>
      </c>
      <c r="B147" s="2">
        <v>1</v>
      </c>
      <c r="C147" s="3">
        <f t="shared" si="33"/>
        <v>12.083333333333334</v>
      </c>
      <c r="E147">
        <v>150</v>
      </c>
      <c r="F147">
        <v>6.2</v>
      </c>
      <c r="G147">
        <f t="shared" si="34"/>
        <v>162.4</v>
      </c>
      <c r="H147">
        <f t="shared" si="35"/>
        <v>156.19999999999999</v>
      </c>
      <c r="I147">
        <f t="shared" si="36"/>
        <v>143.80000000000001</v>
      </c>
      <c r="J147">
        <f t="shared" si="37"/>
        <v>137.6</v>
      </c>
      <c r="K147">
        <f t="shared" si="38"/>
        <v>134.5</v>
      </c>
      <c r="L147">
        <f t="shared" si="39"/>
        <v>131.4</v>
      </c>
      <c r="N147">
        <v>43</v>
      </c>
      <c r="O147">
        <v>8.49</v>
      </c>
      <c r="P147">
        <f t="shared" si="40"/>
        <v>59.980000000000004</v>
      </c>
      <c r="Q147">
        <f t="shared" si="41"/>
        <v>51.49</v>
      </c>
      <c r="R147">
        <f t="shared" si="42"/>
        <v>34.51</v>
      </c>
      <c r="S147">
        <f t="shared" si="43"/>
        <v>26.02</v>
      </c>
      <c r="AC147">
        <v>14.8</v>
      </c>
      <c r="AD147">
        <v>18.399999999999999</v>
      </c>
      <c r="AE147">
        <v>25.5</v>
      </c>
    </row>
    <row r="148" spans="1:31" x14ac:dyDescent="0.15">
      <c r="A148">
        <f t="shared" si="44"/>
        <v>12</v>
      </c>
      <c r="B148" s="2">
        <v>2</v>
      </c>
      <c r="C148" s="3">
        <f t="shared" si="33"/>
        <v>12.166666666666666</v>
      </c>
      <c r="E148">
        <v>150.4</v>
      </c>
      <c r="F148">
        <v>6.2</v>
      </c>
      <c r="G148">
        <f t="shared" si="34"/>
        <v>162.80000000000001</v>
      </c>
      <c r="H148">
        <f t="shared" si="35"/>
        <v>156.6</v>
      </c>
      <c r="I148">
        <f t="shared" si="36"/>
        <v>144.20000000000002</v>
      </c>
      <c r="J148">
        <f t="shared" si="37"/>
        <v>138</v>
      </c>
      <c r="K148">
        <f t="shared" si="38"/>
        <v>134.9</v>
      </c>
      <c r="L148">
        <f t="shared" si="39"/>
        <v>131.80000000000001</v>
      </c>
      <c r="N148">
        <v>43.4</v>
      </c>
      <c r="O148">
        <v>8.51</v>
      </c>
      <c r="P148">
        <f t="shared" si="40"/>
        <v>60.42</v>
      </c>
      <c r="Q148">
        <f t="shared" si="41"/>
        <v>51.91</v>
      </c>
      <c r="R148">
        <f t="shared" si="42"/>
        <v>34.89</v>
      </c>
      <c r="S148">
        <f t="shared" si="43"/>
        <v>26.38</v>
      </c>
      <c r="AC148">
        <v>14.8</v>
      </c>
      <c r="AD148">
        <v>18.5</v>
      </c>
      <c r="AE148">
        <v>25.6</v>
      </c>
    </row>
    <row r="149" spans="1:31" x14ac:dyDescent="0.15">
      <c r="A149">
        <f t="shared" si="44"/>
        <v>12</v>
      </c>
      <c r="B149" s="2">
        <v>3</v>
      </c>
      <c r="C149" s="3">
        <f t="shared" si="33"/>
        <v>12.25</v>
      </c>
      <c r="E149">
        <v>150.9</v>
      </c>
      <c r="F149">
        <v>6.1</v>
      </c>
      <c r="G149">
        <f t="shared" si="34"/>
        <v>163.1</v>
      </c>
      <c r="H149">
        <f t="shared" si="35"/>
        <v>157</v>
      </c>
      <c r="I149">
        <f t="shared" si="36"/>
        <v>144.80000000000001</v>
      </c>
      <c r="J149">
        <f t="shared" si="37"/>
        <v>138.70000000000002</v>
      </c>
      <c r="K149">
        <f t="shared" si="38"/>
        <v>135.65</v>
      </c>
      <c r="L149">
        <f t="shared" si="39"/>
        <v>132.60000000000002</v>
      </c>
      <c r="N149">
        <v>43.8</v>
      </c>
      <c r="O149">
        <v>8.5299999999999994</v>
      </c>
      <c r="P149">
        <f t="shared" si="40"/>
        <v>60.86</v>
      </c>
      <c r="Q149">
        <f t="shared" si="41"/>
        <v>52.33</v>
      </c>
      <c r="R149">
        <f t="shared" si="42"/>
        <v>35.269999999999996</v>
      </c>
      <c r="S149">
        <f t="shared" si="43"/>
        <v>26.74</v>
      </c>
      <c r="AC149">
        <v>14.9</v>
      </c>
      <c r="AD149">
        <v>18.600000000000001</v>
      </c>
      <c r="AE149">
        <v>25.7</v>
      </c>
    </row>
    <row r="150" spans="1:31" x14ac:dyDescent="0.15">
      <c r="A150">
        <f t="shared" si="44"/>
        <v>12</v>
      </c>
      <c r="B150" s="2">
        <v>4</v>
      </c>
      <c r="C150" s="3">
        <f t="shared" si="33"/>
        <v>12.333333333333334</v>
      </c>
      <c r="E150">
        <v>151.30000000000001</v>
      </c>
      <c r="F150">
        <v>6.1</v>
      </c>
      <c r="G150">
        <f t="shared" si="34"/>
        <v>163.5</v>
      </c>
      <c r="H150">
        <f t="shared" si="35"/>
        <v>157.4</v>
      </c>
      <c r="I150">
        <f t="shared" si="36"/>
        <v>145.20000000000002</v>
      </c>
      <c r="J150">
        <f t="shared" si="37"/>
        <v>139.10000000000002</v>
      </c>
      <c r="K150">
        <f t="shared" si="38"/>
        <v>136.05000000000001</v>
      </c>
      <c r="L150">
        <f t="shared" si="39"/>
        <v>133</v>
      </c>
      <c r="N150">
        <v>44.2</v>
      </c>
      <c r="O150">
        <v>8.5500000000000007</v>
      </c>
      <c r="P150">
        <f t="shared" si="40"/>
        <v>61.300000000000004</v>
      </c>
      <c r="Q150">
        <f t="shared" si="41"/>
        <v>52.75</v>
      </c>
      <c r="R150">
        <f t="shared" si="42"/>
        <v>35.650000000000006</v>
      </c>
      <c r="S150">
        <f t="shared" si="43"/>
        <v>27.1</v>
      </c>
      <c r="AC150">
        <v>14.9</v>
      </c>
      <c r="AD150">
        <v>18.600000000000001</v>
      </c>
      <c r="AE150">
        <v>25.7</v>
      </c>
    </row>
    <row r="151" spans="1:31" x14ac:dyDescent="0.15">
      <c r="A151">
        <f t="shared" si="44"/>
        <v>12</v>
      </c>
      <c r="B151" s="2">
        <v>5</v>
      </c>
      <c r="C151" s="3">
        <f t="shared" si="33"/>
        <v>12.416666666666666</v>
      </c>
      <c r="E151">
        <v>151.69999999999999</v>
      </c>
      <c r="F151">
        <v>6</v>
      </c>
      <c r="G151">
        <f t="shared" si="34"/>
        <v>163.69999999999999</v>
      </c>
      <c r="H151">
        <f t="shared" si="35"/>
        <v>157.69999999999999</v>
      </c>
      <c r="I151">
        <f t="shared" si="36"/>
        <v>145.69999999999999</v>
      </c>
      <c r="J151">
        <f t="shared" si="37"/>
        <v>139.69999999999999</v>
      </c>
      <c r="K151">
        <f t="shared" si="38"/>
        <v>136.69999999999999</v>
      </c>
      <c r="L151">
        <f t="shared" si="39"/>
        <v>133.69999999999999</v>
      </c>
      <c r="N151">
        <v>44.6</v>
      </c>
      <c r="O151">
        <v>8.57</v>
      </c>
      <c r="P151">
        <f t="shared" si="40"/>
        <v>61.74</v>
      </c>
      <c r="Q151">
        <f t="shared" si="41"/>
        <v>53.17</v>
      </c>
      <c r="R151">
        <f t="shared" si="42"/>
        <v>36.03</v>
      </c>
      <c r="S151">
        <f t="shared" si="43"/>
        <v>27.46</v>
      </c>
      <c r="AC151">
        <v>15</v>
      </c>
      <c r="AD151">
        <v>18.7</v>
      </c>
      <c r="AE151">
        <v>25.8</v>
      </c>
    </row>
    <row r="152" spans="1:31" x14ac:dyDescent="0.15">
      <c r="A152">
        <f t="shared" si="44"/>
        <v>12</v>
      </c>
      <c r="B152" s="2">
        <v>6</v>
      </c>
      <c r="C152" s="3">
        <f t="shared" si="33"/>
        <v>12.5</v>
      </c>
      <c r="E152">
        <v>152.1</v>
      </c>
      <c r="F152">
        <v>5.9</v>
      </c>
      <c r="G152">
        <f t="shared" si="34"/>
        <v>163.9</v>
      </c>
      <c r="H152">
        <f t="shared" si="35"/>
        <v>158</v>
      </c>
      <c r="I152">
        <f t="shared" si="36"/>
        <v>146.19999999999999</v>
      </c>
      <c r="J152">
        <f t="shared" si="37"/>
        <v>140.29999999999998</v>
      </c>
      <c r="K152">
        <f t="shared" si="38"/>
        <v>137.35</v>
      </c>
      <c r="L152">
        <f t="shared" si="39"/>
        <v>134.39999999999998</v>
      </c>
      <c r="N152">
        <v>45</v>
      </c>
      <c r="O152">
        <v>8.59</v>
      </c>
      <c r="P152">
        <f t="shared" si="40"/>
        <v>62.18</v>
      </c>
      <c r="Q152">
        <f t="shared" si="41"/>
        <v>53.59</v>
      </c>
      <c r="R152">
        <f t="shared" si="42"/>
        <v>36.409999999999997</v>
      </c>
      <c r="S152">
        <f t="shared" si="43"/>
        <v>27.82</v>
      </c>
      <c r="AC152">
        <v>15</v>
      </c>
      <c r="AD152">
        <v>18.8</v>
      </c>
      <c r="AE152">
        <v>25.9</v>
      </c>
    </row>
    <row r="153" spans="1:31" x14ac:dyDescent="0.15">
      <c r="A153">
        <f t="shared" si="44"/>
        <v>12</v>
      </c>
      <c r="B153" s="2">
        <v>7</v>
      </c>
      <c r="C153" s="3">
        <f t="shared" si="33"/>
        <v>12.583333333333334</v>
      </c>
      <c r="E153">
        <v>152.4</v>
      </c>
      <c r="F153">
        <v>5.9</v>
      </c>
      <c r="G153">
        <f t="shared" si="34"/>
        <v>164.20000000000002</v>
      </c>
      <c r="H153">
        <f t="shared" si="35"/>
        <v>158.30000000000001</v>
      </c>
      <c r="I153">
        <f t="shared" si="36"/>
        <v>146.5</v>
      </c>
      <c r="J153">
        <f t="shared" si="37"/>
        <v>140.6</v>
      </c>
      <c r="K153">
        <f t="shared" si="38"/>
        <v>137.65</v>
      </c>
      <c r="L153">
        <f t="shared" si="39"/>
        <v>134.69999999999999</v>
      </c>
      <c r="N153">
        <v>45.3</v>
      </c>
      <c r="O153">
        <v>8.56</v>
      </c>
      <c r="P153">
        <f t="shared" si="40"/>
        <v>62.42</v>
      </c>
      <c r="Q153">
        <f t="shared" si="41"/>
        <v>53.86</v>
      </c>
      <c r="R153">
        <f t="shared" si="42"/>
        <v>36.739999999999995</v>
      </c>
      <c r="S153">
        <f t="shared" si="43"/>
        <v>28.179999999999996</v>
      </c>
      <c r="AC153">
        <v>15.1</v>
      </c>
      <c r="AD153">
        <v>18.899999999999999</v>
      </c>
      <c r="AE153">
        <v>26</v>
      </c>
    </row>
    <row r="154" spans="1:31" x14ac:dyDescent="0.15">
      <c r="A154">
        <f t="shared" si="44"/>
        <v>12</v>
      </c>
      <c r="B154" s="2">
        <v>8</v>
      </c>
      <c r="C154" s="3">
        <f t="shared" si="33"/>
        <v>12.666666666666666</v>
      </c>
      <c r="E154">
        <v>152.6</v>
      </c>
      <c r="F154">
        <v>5.8</v>
      </c>
      <c r="G154">
        <f t="shared" si="34"/>
        <v>164.2</v>
      </c>
      <c r="H154">
        <f t="shared" si="35"/>
        <v>158.4</v>
      </c>
      <c r="I154">
        <f t="shared" si="36"/>
        <v>146.79999999999998</v>
      </c>
      <c r="J154">
        <f t="shared" si="37"/>
        <v>141</v>
      </c>
      <c r="K154">
        <f t="shared" si="38"/>
        <v>138.1</v>
      </c>
      <c r="L154">
        <f t="shared" si="39"/>
        <v>135.19999999999999</v>
      </c>
      <c r="N154">
        <v>45.6</v>
      </c>
      <c r="O154">
        <v>8.5299999999999994</v>
      </c>
      <c r="P154">
        <f t="shared" si="40"/>
        <v>62.66</v>
      </c>
      <c r="Q154">
        <f t="shared" si="41"/>
        <v>54.13</v>
      </c>
      <c r="R154">
        <f t="shared" si="42"/>
        <v>37.07</v>
      </c>
      <c r="S154">
        <f t="shared" si="43"/>
        <v>28.540000000000003</v>
      </c>
      <c r="AC154">
        <v>15.1</v>
      </c>
      <c r="AD154">
        <v>18.899999999999999</v>
      </c>
      <c r="AE154">
        <v>26.1</v>
      </c>
    </row>
    <row r="155" spans="1:31" x14ac:dyDescent="0.15">
      <c r="A155">
        <f t="shared" si="44"/>
        <v>12</v>
      </c>
      <c r="B155" s="2">
        <v>9</v>
      </c>
      <c r="C155" s="3">
        <f t="shared" si="33"/>
        <v>12.75</v>
      </c>
      <c r="E155">
        <v>152.9</v>
      </c>
      <c r="F155">
        <v>5.8</v>
      </c>
      <c r="G155">
        <f t="shared" si="34"/>
        <v>164.5</v>
      </c>
      <c r="H155">
        <f t="shared" si="35"/>
        <v>158.70000000000002</v>
      </c>
      <c r="I155">
        <f t="shared" si="36"/>
        <v>147.1</v>
      </c>
      <c r="J155">
        <f t="shared" si="37"/>
        <v>141.30000000000001</v>
      </c>
      <c r="K155">
        <f t="shared" si="38"/>
        <v>138.4</v>
      </c>
      <c r="L155">
        <f t="shared" si="39"/>
        <v>135.5</v>
      </c>
      <c r="N155">
        <v>45.8</v>
      </c>
      <c r="O155">
        <v>8.5</v>
      </c>
      <c r="P155">
        <f t="shared" si="40"/>
        <v>62.8</v>
      </c>
      <c r="Q155">
        <f t="shared" si="41"/>
        <v>54.3</v>
      </c>
      <c r="R155">
        <f t="shared" si="42"/>
        <v>37.299999999999997</v>
      </c>
      <c r="S155">
        <f t="shared" si="43"/>
        <v>28.799999999999997</v>
      </c>
      <c r="AC155">
        <v>15.2</v>
      </c>
      <c r="AD155">
        <v>19</v>
      </c>
      <c r="AE155">
        <v>26.2</v>
      </c>
    </row>
    <row r="156" spans="1:31" x14ac:dyDescent="0.15">
      <c r="A156">
        <f t="shared" si="44"/>
        <v>12</v>
      </c>
      <c r="B156" s="2">
        <v>10</v>
      </c>
      <c r="C156" s="3">
        <f t="shared" si="33"/>
        <v>12.833333333333334</v>
      </c>
      <c r="E156">
        <v>153.1</v>
      </c>
      <c r="F156">
        <v>5.8</v>
      </c>
      <c r="G156">
        <f t="shared" si="34"/>
        <v>164.7</v>
      </c>
      <c r="H156">
        <f t="shared" si="35"/>
        <v>158.9</v>
      </c>
      <c r="I156">
        <f t="shared" si="36"/>
        <v>147.29999999999998</v>
      </c>
      <c r="J156">
        <f t="shared" si="37"/>
        <v>141.5</v>
      </c>
      <c r="K156">
        <f t="shared" si="38"/>
        <v>138.6</v>
      </c>
      <c r="L156">
        <f t="shared" si="39"/>
        <v>135.69999999999999</v>
      </c>
      <c r="N156">
        <v>46.1</v>
      </c>
      <c r="O156">
        <v>8.4700000000000006</v>
      </c>
      <c r="P156">
        <f t="shared" si="40"/>
        <v>63.040000000000006</v>
      </c>
      <c r="Q156">
        <f t="shared" si="41"/>
        <v>54.57</v>
      </c>
      <c r="R156">
        <f t="shared" si="42"/>
        <v>37.630000000000003</v>
      </c>
      <c r="S156">
        <f t="shared" si="43"/>
        <v>29.16</v>
      </c>
      <c r="AC156">
        <v>15.2</v>
      </c>
      <c r="AD156">
        <v>19.100000000000001</v>
      </c>
      <c r="AE156">
        <v>26.2</v>
      </c>
    </row>
    <row r="157" spans="1:31" x14ac:dyDescent="0.15">
      <c r="A157">
        <f t="shared" si="44"/>
        <v>12</v>
      </c>
      <c r="B157" s="2">
        <v>11</v>
      </c>
      <c r="C157" s="3">
        <f t="shared" si="33"/>
        <v>12.916666666666666</v>
      </c>
      <c r="E157">
        <v>153.4</v>
      </c>
      <c r="F157">
        <v>5.7</v>
      </c>
      <c r="G157">
        <f t="shared" si="34"/>
        <v>164.8</v>
      </c>
      <c r="H157">
        <f t="shared" si="35"/>
        <v>159.1</v>
      </c>
      <c r="I157">
        <f t="shared" si="36"/>
        <v>147.70000000000002</v>
      </c>
      <c r="J157">
        <f t="shared" si="37"/>
        <v>142</v>
      </c>
      <c r="K157">
        <f t="shared" si="38"/>
        <v>139.15</v>
      </c>
      <c r="L157">
        <f t="shared" si="39"/>
        <v>136.30000000000001</v>
      </c>
      <c r="N157">
        <v>46.4</v>
      </c>
      <c r="O157">
        <v>8.44</v>
      </c>
      <c r="P157">
        <f t="shared" si="40"/>
        <v>63.28</v>
      </c>
      <c r="Q157">
        <f t="shared" si="41"/>
        <v>54.839999999999996</v>
      </c>
      <c r="R157">
        <f t="shared" si="42"/>
        <v>37.96</v>
      </c>
      <c r="S157">
        <f t="shared" si="43"/>
        <v>29.52</v>
      </c>
      <c r="AC157">
        <v>15.3</v>
      </c>
      <c r="AD157">
        <v>19.100000000000001</v>
      </c>
      <c r="AE157">
        <v>26.3</v>
      </c>
    </row>
    <row r="158" spans="1:31" x14ac:dyDescent="0.15">
      <c r="A158">
        <f t="shared" si="44"/>
        <v>13</v>
      </c>
      <c r="B158" s="2">
        <v>0</v>
      </c>
      <c r="C158" s="3">
        <f t="shared" si="33"/>
        <v>13</v>
      </c>
      <c r="E158">
        <v>153.6</v>
      </c>
      <c r="F158">
        <v>5.7</v>
      </c>
      <c r="G158">
        <f t="shared" si="34"/>
        <v>165</v>
      </c>
      <c r="H158">
        <f t="shared" si="35"/>
        <v>159.29999999999998</v>
      </c>
      <c r="I158">
        <f t="shared" si="36"/>
        <v>147.9</v>
      </c>
      <c r="J158">
        <f t="shared" si="37"/>
        <v>142.19999999999999</v>
      </c>
      <c r="K158">
        <f t="shared" si="38"/>
        <v>139.35</v>
      </c>
      <c r="L158">
        <f t="shared" si="39"/>
        <v>136.5</v>
      </c>
      <c r="N158">
        <v>46.7</v>
      </c>
      <c r="O158">
        <v>8.42</v>
      </c>
      <c r="P158">
        <f t="shared" si="40"/>
        <v>63.540000000000006</v>
      </c>
      <c r="Q158">
        <f t="shared" si="41"/>
        <v>55.120000000000005</v>
      </c>
      <c r="R158">
        <f t="shared" si="42"/>
        <v>38.28</v>
      </c>
      <c r="S158">
        <f t="shared" si="43"/>
        <v>29.860000000000003</v>
      </c>
      <c r="AC158">
        <v>15.4</v>
      </c>
      <c r="AD158">
        <v>19.2</v>
      </c>
      <c r="AE158">
        <v>26.4</v>
      </c>
    </row>
    <row r="159" spans="1:31" x14ac:dyDescent="0.15">
      <c r="A159">
        <f t="shared" si="44"/>
        <v>13</v>
      </c>
      <c r="B159" s="2">
        <v>1</v>
      </c>
      <c r="C159" s="3">
        <f t="shared" si="33"/>
        <v>13.083333333333334</v>
      </c>
      <c r="E159">
        <v>153.9</v>
      </c>
      <c r="F159">
        <v>5.6</v>
      </c>
      <c r="G159">
        <f t="shared" si="34"/>
        <v>165.1</v>
      </c>
      <c r="H159">
        <f t="shared" si="35"/>
        <v>159.5</v>
      </c>
      <c r="I159">
        <f t="shared" si="36"/>
        <v>148.30000000000001</v>
      </c>
      <c r="J159">
        <f t="shared" si="37"/>
        <v>142.70000000000002</v>
      </c>
      <c r="K159">
        <f t="shared" si="38"/>
        <v>139.9</v>
      </c>
      <c r="L159">
        <f t="shared" si="39"/>
        <v>137.10000000000002</v>
      </c>
      <c r="N159">
        <v>46.9</v>
      </c>
      <c r="O159">
        <v>8.39</v>
      </c>
      <c r="P159">
        <f t="shared" si="40"/>
        <v>63.68</v>
      </c>
      <c r="Q159">
        <f t="shared" si="41"/>
        <v>55.29</v>
      </c>
      <c r="R159">
        <f t="shared" si="42"/>
        <v>38.51</v>
      </c>
      <c r="S159">
        <f t="shared" si="43"/>
        <v>30.119999999999997</v>
      </c>
      <c r="AC159">
        <v>15.4</v>
      </c>
      <c r="AD159">
        <v>19.3</v>
      </c>
      <c r="AE159">
        <v>26.5</v>
      </c>
    </row>
    <row r="160" spans="1:31" x14ac:dyDescent="0.15">
      <c r="A160">
        <f t="shared" si="44"/>
        <v>13</v>
      </c>
      <c r="B160" s="2">
        <v>2</v>
      </c>
      <c r="C160" s="3">
        <f t="shared" si="33"/>
        <v>13.166666666666666</v>
      </c>
      <c r="E160">
        <v>154.1</v>
      </c>
      <c r="F160">
        <v>5.6</v>
      </c>
      <c r="G160">
        <f t="shared" si="34"/>
        <v>165.29999999999998</v>
      </c>
      <c r="H160">
        <f t="shared" si="35"/>
        <v>159.69999999999999</v>
      </c>
      <c r="I160">
        <f t="shared" si="36"/>
        <v>148.5</v>
      </c>
      <c r="J160">
        <f t="shared" si="37"/>
        <v>142.9</v>
      </c>
      <c r="K160">
        <f t="shared" si="38"/>
        <v>140.1</v>
      </c>
      <c r="L160">
        <f t="shared" si="39"/>
        <v>137.30000000000001</v>
      </c>
      <c r="N160">
        <v>47.2</v>
      </c>
      <c r="O160">
        <v>8.36</v>
      </c>
      <c r="P160">
        <f t="shared" si="40"/>
        <v>63.92</v>
      </c>
      <c r="Q160">
        <f t="shared" si="41"/>
        <v>55.56</v>
      </c>
      <c r="R160">
        <f t="shared" si="42"/>
        <v>38.840000000000003</v>
      </c>
      <c r="S160">
        <f t="shared" si="43"/>
        <v>30.480000000000004</v>
      </c>
      <c r="AC160">
        <v>15.5</v>
      </c>
      <c r="AD160">
        <v>19.3</v>
      </c>
      <c r="AE160">
        <v>26.6</v>
      </c>
    </row>
    <row r="161" spans="1:31" x14ac:dyDescent="0.15">
      <c r="A161">
        <f t="shared" si="44"/>
        <v>13</v>
      </c>
      <c r="B161" s="2">
        <v>3</v>
      </c>
      <c r="C161" s="3">
        <f t="shared" si="33"/>
        <v>13.25</v>
      </c>
      <c r="E161">
        <v>154.4</v>
      </c>
      <c r="F161">
        <v>5.5</v>
      </c>
      <c r="G161">
        <f t="shared" si="34"/>
        <v>165.4</v>
      </c>
      <c r="H161">
        <f t="shared" si="35"/>
        <v>159.9</v>
      </c>
      <c r="I161">
        <f t="shared" si="36"/>
        <v>148.9</v>
      </c>
      <c r="J161">
        <f t="shared" si="37"/>
        <v>143.4</v>
      </c>
      <c r="K161">
        <f t="shared" si="38"/>
        <v>140.65</v>
      </c>
      <c r="L161">
        <f t="shared" si="39"/>
        <v>137.9</v>
      </c>
      <c r="N161">
        <v>47.5</v>
      </c>
      <c r="O161">
        <v>8.33</v>
      </c>
      <c r="P161">
        <f t="shared" si="40"/>
        <v>64.16</v>
      </c>
      <c r="Q161">
        <f t="shared" si="41"/>
        <v>55.83</v>
      </c>
      <c r="R161">
        <f t="shared" si="42"/>
        <v>39.17</v>
      </c>
      <c r="S161">
        <f t="shared" si="43"/>
        <v>30.84</v>
      </c>
      <c r="AC161">
        <v>15.5</v>
      </c>
      <c r="AD161">
        <v>19.399999999999999</v>
      </c>
      <c r="AE161">
        <v>26.6</v>
      </c>
    </row>
    <row r="162" spans="1:31" x14ac:dyDescent="0.15">
      <c r="A162">
        <f t="shared" si="44"/>
        <v>13</v>
      </c>
      <c r="B162" s="2">
        <v>4</v>
      </c>
      <c r="C162" s="3">
        <f t="shared" si="33"/>
        <v>13.333333333333334</v>
      </c>
      <c r="E162">
        <v>154.6</v>
      </c>
      <c r="F162">
        <v>5.5</v>
      </c>
      <c r="G162">
        <f t="shared" si="34"/>
        <v>165.6</v>
      </c>
      <c r="H162">
        <f t="shared" si="35"/>
        <v>160.1</v>
      </c>
      <c r="I162">
        <f t="shared" si="36"/>
        <v>149.1</v>
      </c>
      <c r="J162">
        <f t="shared" si="37"/>
        <v>143.6</v>
      </c>
      <c r="K162">
        <f t="shared" si="38"/>
        <v>140.85</v>
      </c>
      <c r="L162">
        <f t="shared" si="39"/>
        <v>138.1</v>
      </c>
      <c r="N162">
        <v>47.8</v>
      </c>
      <c r="O162">
        <v>8.3000000000000007</v>
      </c>
      <c r="P162">
        <f t="shared" si="40"/>
        <v>64.400000000000006</v>
      </c>
      <c r="Q162">
        <f t="shared" si="41"/>
        <v>56.099999999999994</v>
      </c>
      <c r="R162">
        <f t="shared" si="42"/>
        <v>39.5</v>
      </c>
      <c r="S162">
        <f t="shared" si="43"/>
        <v>31.199999999999996</v>
      </c>
      <c r="AC162">
        <v>15.6</v>
      </c>
      <c r="AD162">
        <v>19.5</v>
      </c>
      <c r="AE162">
        <v>26.7</v>
      </c>
    </row>
    <row r="163" spans="1:31" x14ac:dyDescent="0.15">
      <c r="A163">
        <f t="shared" si="44"/>
        <v>13</v>
      </c>
      <c r="B163" s="2">
        <v>5</v>
      </c>
      <c r="C163" s="3">
        <f t="shared" si="33"/>
        <v>13.416666666666666</v>
      </c>
      <c r="E163">
        <v>154.9</v>
      </c>
      <c r="F163">
        <v>5.4</v>
      </c>
      <c r="G163">
        <f t="shared" si="34"/>
        <v>165.70000000000002</v>
      </c>
      <c r="H163">
        <f t="shared" si="35"/>
        <v>160.30000000000001</v>
      </c>
      <c r="I163">
        <f t="shared" si="36"/>
        <v>149.5</v>
      </c>
      <c r="J163">
        <f t="shared" si="37"/>
        <v>144.1</v>
      </c>
      <c r="K163">
        <f t="shared" si="38"/>
        <v>141.4</v>
      </c>
      <c r="L163">
        <f t="shared" si="39"/>
        <v>138.69999999999999</v>
      </c>
      <c r="N163">
        <v>48</v>
      </c>
      <c r="O163">
        <v>8.27</v>
      </c>
      <c r="P163">
        <f t="shared" si="40"/>
        <v>64.539999999999992</v>
      </c>
      <c r="Q163">
        <f t="shared" si="41"/>
        <v>56.269999999999996</v>
      </c>
      <c r="R163">
        <f t="shared" si="42"/>
        <v>39.730000000000004</v>
      </c>
      <c r="S163">
        <f t="shared" si="43"/>
        <v>31.46</v>
      </c>
      <c r="AC163">
        <v>15.6</v>
      </c>
      <c r="AD163">
        <v>19.5</v>
      </c>
      <c r="AE163">
        <v>26.8</v>
      </c>
    </row>
    <row r="164" spans="1:31" x14ac:dyDescent="0.15">
      <c r="A164">
        <f t="shared" si="44"/>
        <v>13</v>
      </c>
      <c r="B164" s="2">
        <v>6</v>
      </c>
      <c r="C164" s="3">
        <f t="shared" si="33"/>
        <v>13.5</v>
      </c>
      <c r="E164">
        <v>155.1</v>
      </c>
      <c r="F164">
        <v>5.4</v>
      </c>
      <c r="G164">
        <f t="shared" si="34"/>
        <v>165.9</v>
      </c>
      <c r="H164">
        <f t="shared" si="35"/>
        <v>160.5</v>
      </c>
      <c r="I164">
        <f t="shared" si="36"/>
        <v>149.69999999999999</v>
      </c>
      <c r="J164">
        <f t="shared" si="37"/>
        <v>144.29999999999998</v>
      </c>
      <c r="K164">
        <f t="shared" si="38"/>
        <v>141.6</v>
      </c>
      <c r="L164">
        <f t="shared" si="39"/>
        <v>138.89999999999998</v>
      </c>
      <c r="N164">
        <v>48.3</v>
      </c>
      <c r="O164">
        <v>8.24</v>
      </c>
      <c r="P164">
        <f t="shared" si="40"/>
        <v>64.78</v>
      </c>
      <c r="Q164">
        <f t="shared" si="41"/>
        <v>56.54</v>
      </c>
      <c r="R164">
        <f t="shared" si="42"/>
        <v>40.059999999999995</v>
      </c>
      <c r="S164">
        <f t="shared" si="43"/>
        <v>31.819999999999997</v>
      </c>
      <c r="AC164">
        <v>15.7</v>
      </c>
      <c r="AD164">
        <v>19.600000000000001</v>
      </c>
      <c r="AE164">
        <v>26.9</v>
      </c>
    </row>
    <row r="165" spans="1:31" x14ac:dyDescent="0.15">
      <c r="A165">
        <f t="shared" si="44"/>
        <v>13</v>
      </c>
      <c r="B165" s="2">
        <v>7</v>
      </c>
      <c r="C165" s="3">
        <f t="shared" si="33"/>
        <v>13.583333333333334</v>
      </c>
      <c r="E165">
        <v>155.19999999999999</v>
      </c>
      <c r="F165">
        <v>5.4</v>
      </c>
      <c r="G165">
        <f t="shared" si="34"/>
        <v>166</v>
      </c>
      <c r="H165">
        <f t="shared" si="35"/>
        <v>160.6</v>
      </c>
      <c r="I165">
        <f t="shared" si="36"/>
        <v>149.79999999999998</v>
      </c>
      <c r="J165">
        <f t="shared" si="37"/>
        <v>144.39999999999998</v>
      </c>
      <c r="K165">
        <f t="shared" si="38"/>
        <v>141.69999999999999</v>
      </c>
      <c r="L165">
        <f t="shared" si="39"/>
        <v>139</v>
      </c>
      <c r="N165">
        <v>48.7</v>
      </c>
      <c r="O165">
        <v>8.2200000000000006</v>
      </c>
      <c r="P165">
        <f t="shared" si="40"/>
        <v>65.14</v>
      </c>
      <c r="Q165">
        <f t="shared" si="41"/>
        <v>56.92</v>
      </c>
      <c r="R165">
        <f t="shared" si="42"/>
        <v>40.480000000000004</v>
      </c>
      <c r="S165">
        <f t="shared" si="43"/>
        <v>32.260000000000005</v>
      </c>
      <c r="AC165">
        <v>15.7</v>
      </c>
      <c r="AD165">
        <v>19.7</v>
      </c>
      <c r="AE165">
        <v>26.9</v>
      </c>
    </row>
    <row r="166" spans="1:31" x14ac:dyDescent="0.15">
      <c r="A166">
        <f t="shared" ref="A166:A197" si="45">A154+1</f>
        <v>13</v>
      </c>
      <c r="B166" s="2">
        <v>8</v>
      </c>
      <c r="C166" s="3">
        <f t="shared" si="33"/>
        <v>13.666666666666666</v>
      </c>
      <c r="E166">
        <v>155.4</v>
      </c>
      <c r="F166">
        <v>5.4</v>
      </c>
      <c r="G166">
        <f t="shared" si="34"/>
        <v>166.20000000000002</v>
      </c>
      <c r="H166">
        <f t="shared" si="35"/>
        <v>160.80000000000001</v>
      </c>
      <c r="I166">
        <f t="shared" si="36"/>
        <v>150</v>
      </c>
      <c r="J166">
        <f t="shared" si="37"/>
        <v>144.6</v>
      </c>
      <c r="K166">
        <f t="shared" si="38"/>
        <v>141.9</v>
      </c>
      <c r="L166">
        <f t="shared" si="39"/>
        <v>139.19999999999999</v>
      </c>
      <c r="N166">
        <v>48.9</v>
      </c>
      <c r="O166">
        <v>8.19</v>
      </c>
      <c r="P166">
        <f t="shared" si="40"/>
        <v>65.28</v>
      </c>
      <c r="Q166">
        <f t="shared" si="41"/>
        <v>57.089999999999996</v>
      </c>
      <c r="R166">
        <f t="shared" si="42"/>
        <v>40.71</v>
      </c>
      <c r="S166">
        <f t="shared" si="43"/>
        <v>32.519999999999996</v>
      </c>
      <c r="AC166">
        <v>15.8</v>
      </c>
      <c r="AD166">
        <v>19.7</v>
      </c>
      <c r="AE166">
        <v>27</v>
      </c>
    </row>
    <row r="167" spans="1:31" x14ac:dyDescent="0.15">
      <c r="A167">
        <f t="shared" si="45"/>
        <v>13</v>
      </c>
      <c r="B167" s="2">
        <v>9</v>
      </c>
      <c r="C167" s="3">
        <f t="shared" si="33"/>
        <v>13.75</v>
      </c>
      <c r="E167">
        <v>155.5</v>
      </c>
      <c r="F167">
        <v>5.4</v>
      </c>
      <c r="G167">
        <f t="shared" si="34"/>
        <v>166.3</v>
      </c>
      <c r="H167">
        <f t="shared" si="35"/>
        <v>160.9</v>
      </c>
      <c r="I167">
        <f t="shared" si="36"/>
        <v>150.1</v>
      </c>
      <c r="J167">
        <f t="shared" si="37"/>
        <v>144.69999999999999</v>
      </c>
      <c r="K167">
        <f t="shared" si="38"/>
        <v>142</v>
      </c>
      <c r="L167">
        <f t="shared" si="39"/>
        <v>139.30000000000001</v>
      </c>
      <c r="N167">
        <v>48.9</v>
      </c>
      <c r="O167">
        <v>8.17</v>
      </c>
      <c r="P167">
        <f t="shared" si="40"/>
        <v>65.239999999999995</v>
      </c>
      <c r="Q167">
        <f t="shared" si="41"/>
        <v>57.07</v>
      </c>
      <c r="R167">
        <f t="shared" si="42"/>
        <v>40.729999999999997</v>
      </c>
      <c r="S167">
        <f t="shared" si="43"/>
        <v>32.56</v>
      </c>
      <c r="AC167">
        <v>15.8</v>
      </c>
      <c r="AD167">
        <v>19.8</v>
      </c>
      <c r="AE167">
        <v>27.1</v>
      </c>
    </row>
    <row r="168" spans="1:31" x14ac:dyDescent="0.15">
      <c r="A168">
        <f t="shared" si="45"/>
        <v>13</v>
      </c>
      <c r="B168" s="2">
        <v>10</v>
      </c>
      <c r="C168" s="3">
        <f t="shared" si="33"/>
        <v>13.833333333333334</v>
      </c>
      <c r="E168">
        <v>155.69999999999999</v>
      </c>
      <c r="F168">
        <v>5.4</v>
      </c>
      <c r="G168">
        <f t="shared" si="34"/>
        <v>166.5</v>
      </c>
      <c r="H168">
        <f t="shared" si="35"/>
        <v>161.1</v>
      </c>
      <c r="I168">
        <f t="shared" si="36"/>
        <v>150.29999999999998</v>
      </c>
      <c r="J168">
        <f t="shared" si="37"/>
        <v>144.89999999999998</v>
      </c>
      <c r="K168">
        <f t="shared" si="38"/>
        <v>142.19999999999999</v>
      </c>
      <c r="L168">
        <f t="shared" si="39"/>
        <v>139.5</v>
      </c>
      <c r="N168">
        <v>49.1</v>
      </c>
      <c r="O168">
        <v>8.14</v>
      </c>
      <c r="P168">
        <f t="shared" si="40"/>
        <v>65.38</v>
      </c>
      <c r="Q168">
        <f t="shared" si="41"/>
        <v>57.24</v>
      </c>
      <c r="R168">
        <f t="shared" si="42"/>
        <v>40.96</v>
      </c>
      <c r="S168">
        <f t="shared" si="43"/>
        <v>32.82</v>
      </c>
      <c r="AC168">
        <v>15.9</v>
      </c>
      <c r="AD168">
        <v>19.8</v>
      </c>
      <c r="AE168">
        <v>27.2</v>
      </c>
    </row>
    <row r="169" spans="1:31" x14ac:dyDescent="0.15">
      <c r="A169">
        <f t="shared" si="45"/>
        <v>13</v>
      </c>
      <c r="B169" s="2">
        <v>11</v>
      </c>
      <c r="C169" s="3">
        <f t="shared" si="33"/>
        <v>13.916666666666666</v>
      </c>
      <c r="E169">
        <v>155.80000000000001</v>
      </c>
      <c r="F169">
        <v>5.4</v>
      </c>
      <c r="G169">
        <f t="shared" si="34"/>
        <v>166.60000000000002</v>
      </c>
      <c r="H169">
        <f t="shared" si="35"/>
        <v>161.20000000000002</v>
      </c>
      <c r="I169">
        <f t="shared" si="36"/>
        <v>150.4</v>
      </c>
      <c r="J169">
        <f t="shared" si="37"/>
        <v>145</v>
      </c>
      <c r="K169">
        <f t="shared" si="38"/>
        <v>142.30000000000001</v>
      </c>
      <c r="L169">
        <f t="shared" si="39"/>
        <v>139.60000000000002</v>
      </c>
      <c r="N169">
        <v>49.3</v>
      </c>
      <c r="O169">
        <v>8.1199999999999992</v>
      </c>
      <c r="P169">
        <f t="shared" si="40"/>
        <v>65.539999999999992</v>
      </c>
      <c r="Q169">
        <f t="shared" si="41"/>
        <v>57.419999999999995</v>
      </c>
      <c r="R169">
        <f t="shared" si="42"/>
        <v>41.18</v>
      </c>
      <c r="S169">
        <f t="shared" si="43"/>
        <v>33.06</v>
      </c>
      <c r="AC169">
        <v>15.9</v>
      </c>
      <c r="AD169">
        <v>19.899999999999999</v>
      </c>
      <c r="AE169">
        <v>27.2</v>
      </c>
    </row>
    <row r="170" spans="1:31" x14ac:dyDescent="0.15">
      <c r="A170">
        <f t="shared" si="45"/>
        <v>14</v>
      </c>
      <c r="B170" s="2">
        <v>0</v>
      </c>
      <c r="C170" s="3">
        <f t="shared" si="33"/>
        <v>14</v>
      </c>
      <c r="E170">
        <v>156</v>
      </c>
      <c r="F170">
        <v>5.4</v>
      </c>
      <c r="G170">
        <f t="shared" si="34"/>
        <v>166.8</v>
      </c>
      <c r="H170">
        <f t="shared" si="35"/>
        <v>161.4</v>
      </c>
      <c r="I170">
        <f t="shared" si="36"/>
        <v>150.6</v>
      </c>
      <c r="J170">
        <f t="shared" si="37"/>
        <v>145.19999999999999</v>
      </c>
      <c r="K170">
        <f t="shared" si="38"/>
        <v>142.5</v>
      </c>
      <c r="L170">
        <f t="shared" si="39"/>
        <v>139.80000000000001</v>
      </c>
      <c r="N170">
        <v>49.5</v>
      </c>
      <c r="O170">
        <v>8.1</v>
      </c>
      <c r="P170">
        <f t="shared" si="40"/>
        <v>65.7</v>
      </c>
      <c r="Q170">
        <f t="shared" si="41"/>
        <v>57.6</v>
      </c>
      <c r="R170">
        <f t="shared" si="42"/>
        <v>41.4</v>
      </c>
      <c r="S170">
        <f t="shared" si="43"/>
        <v>33.299999999999997</v>
      </c>
      <c r="AC170">
        <v>16</v>
      </c>
      <c r="AD170">
        <v>19.899999999999999</v>
      </c>
      <c r="AE170">
        <v>27.3</v>
      </c>
    </row>
    <row r="171" spans="1:31" x14ac:dyDescent="0.15">
      <c r="A171">
        <f t="shared" si="45"/>
        <v>14</v>
      </c>
      <c r="B171" s="2">
        <v>1</v>
      </c>
      <c r="C171" s="3">
        <f t="shared" si="33"/>
        <v>14.083333333333334</v>
      </c>
      <c r="E171">
        <v>156.1</v>
      </c>
      <c r="F171">
        <v>5.3</v>
      </c>
      <c r="G171">
        <f t="shared" si="34"/>
        <v>166.7</v>
      </c>
      <c r="H171">
        <f t="shared" si="35"/>
        <v>161.4</v>
      </c>
      <c r="I171">
        <f t="shared" si="36"/>
        <v>150.79999999999998</v>
      </c>
      <c r="J171">
        <f t="shared" si="37"/>
        <v>145.5</v>
      </c>
      <c r="K171">
        <f t="shared" si="38"/>
        <v>142.85</v>
      </c>
      <c r="L171">
        <f t="shared" si="39"/>
        <v>140.19999999999999</v>
      </c>
      <c r="N171">
        <v>49.7</v>
      </c>
      <c r="O171">
        <v>8.07</v>
      </c>
      <c r="P171">
        <f t="shared" si="40"/>
        <v>65.84</v>
      </c>
      <c r="Q171">
        <f t="shared" si="41"/>
        <v>57.77</v>
      </c>
      <c r="R171">
        <f t="shared" si="42"/>
        <v>41.63</v>
      </c>
      <c r="S171">
        <f t="shared" si="43"/>
        <v>33.56</v>
      </c>
      <c r="AC171">
        <v>16</v>
      </c>
      <c r="AD171">
        <v>20</v>
      </c>
      <c r="AE171">
        <v>27.4</v>
      </c>
    </row>
    <row r="172" spans="1:31" x14ac:dyDescent="0.15">
      <c r="A172">
        <f t="shared" si="45"/>
        <v>14</v>
      </c>
      <c r="B172" s="2">
        <v>2</v>
      </c>
      <c r="C172" s="3">
        <f t="shared" si="33"/>
        <v>14.166666666666666</v>
      </c>
      <c r="E172">
        <v>156.19999999999999</v>
      </c>
      <c r="F172">
        <v>5.3</v>
      </c>
      <c r="G172">
        <f t="shared" si="34"/>
        <v>166.79999999999998</v>
      </c>
      <c r="H172">
        <f t="shared" si="35"/>
        <v>161.5</v>
      </c>
      <c r="I172">
        <f t="shared" si="36"/>
        <v>150.89999999999998</v>
      </c>
      <c r="J172">
        <f t="shared" si="37"/>
        <v>145.6</v>
      </c>
      <c r="K172">
        <f t="shared" si="38"/>
        <v>142.94999999999999</v>
      </c>
      <c r="L172">
        <f t="shared" si="39"/>
        <v>140.29999999999998</v>
      </c>
      <c r="N172">
        <v>49.9</v>
      </c>
      <c r="O172">
        <v>8.0500000000000007</v>
      </c>
      <c r="P172">
        <f t="shared" si="40"/>
        <v>66</v>
      </c>
      <c r="Q172">
        <f t="shared" si="41"/>
        <v>57.95</v>
      </c>
      <c r="R172">
        <f t="shared" si="42"/>
        <v>41.849999999999994</v>
      </c>
      <c r="S172">
        <f t="shared" si="43"/>
        <v>33.799999999999997</v>
      </c>
      <c r="AC172">
        <v>16.100000000000001</v>
      </c>
      <c r="AD172">
        <v>20</v>
      </c>
      <c r="AE172">
        <v>27.4</v>
      </c>
    </row>
    <row r="173" spans="1:31" x14ac:dyDescent="0.15">
      <c r="A173">
        <f t="shared" si="45"/>
        <v>14</v>
      </c>
      <c r="B173" s="2">
        <v>3</v>
      </c>
      <c r="C173" s="3">
        <f t="shared" si="33"/>
        <v>14.25</v>
      </c>
      <c r="E173">
        <v>156.4</v>
      </c>
      <c r="F173">
        <v>5.3</v>
      </c>
      <c r="G173">
        <f t="shared" si="34"/>
        <v>167</v>
      </c>
      <c r="H173">
        <f t="shared" si="35"/>
        <v>161.70000000000002</v>
      </c>
      <c r="I173">
        <f t="shared" si="36"/>
        <v>151.1</v>
      </c>
      <c r="J173">
        <f t="shared" si="37"/>
        <v>145.80000000000001</v>
      </c>
      <c r="K173">
        <f t="shared" si="38"/>
        <v>143.15</v>
      </c>
      <c r="L173">
        <f t="shared" si="39"/>
        <v>140.5</v>
      </c>
      <c r="N173">
        <v>50.1</v>
      </c>
      <c r="O173">
        <v>8.02</v>
      </c>
      <c r="P173">
        <f t="shared" si="40"/>
        <v>66.14</v>
      </c>
      <c r="Q173">
        <f t="shared" si="41"/>
        <v>58.120000000000005</v>
      </c>
      <c r="R173">
        <f t="shared" si="42"/>
        <v>42.08</v>
      </c>
      <c r="S173">
        <f t="shared" si="43"/>
        <v>34.06</v>
      </c>
      <c r="AC173">
        <v>16.100000000000001</v>
      </c>
      <c r="AD173">
        <v>20.100000000000001</v>
      </c>
      <c r="AE173">
        <v>27.5</v>
      </c>
    </row>
    <row r="174" spans="1:31" x14ac:dyDescent="0.15">
      <c r="A174">
        <f t="shared" si="45"/>
        <v>14</v>
      </c>
      <c r="B174" s="2">
        <v>4</v>
      </c>
      <c r="C174" s="3">
        <f t="shared" si="33"/>
        <v>14.333333333333334</v>
      </c>
      <c r="E174">
        <v>156.5</v>
      </c>
      <c r="F174">
        <v>5.3</v>
      </c>
      <c r="G174">
        <f t="shared" si="34"/>
        <v>167.1</v>
      </c>
      <c r="H174">
        <f t="shared" si="35"/>
        <v>161.80000000000001</v>
      </c>
      <c r="I174">
        <f t="shared" si="36"/>
        <v>151.19999999999999</v>
      </c>
      <c r="J174">
        <f t="shared" si="37"/>
        <v>145.9</v>
      </c>
      <c r="K174">
        <f t="shared" si="38"/>
        <v>143.25</v>
      </c>
      <c r="L174">
        <f t="shared" si="39"/>
        <v>140.6</v>
      </c>
      <c r="N174">
        <v>50.3</v>
      </c>
      <c r="O174">
        <v>8</v>
      </c>
      <c r="P174">
        <f t="shared" si="40"/>
        <v>66.3</v>
      </c>
      <c r="Q174">
        <f t="shared" si="41"/>
        <v>58.3</v>
      </c>
      <c r="R174">
        <f t="shared" si="42"/>
        <v>42.3</v>
      </c>
      <c r="S174">
        <f t="shared" si="43"/>
        <v>34.299999999999997</v>
      </c>
      <c r="AC174">
        <v>16.2</v>
      </c>
      <c r="AD174">
        <v>20.100000000000001</v>
      </c>
      <c r="AE174">
        <v>27.5</v>
      </c>
    </row>
    <row r="175" spans="1:31" x14ac:dyDescent="0.15">
      <c r="A175">
        <f t="shared" si="45"/>
        <v>14</v>
      </c>
      <c r="B175" s="2">
        <v>5</v>
      </c>
      <c r="C175" s="3">
        <f t="shared" si="33"/>
        <v>14.416666666666666</v>
      </c>
      <c r="E175">
        <v>156.69999999999999</v>
      </c>
      <c r="F175">
        <v>5.3</v>
      </c>
      <c r="G175">
        <f t="shared" si="34"/>
        <v>167.29999999999998</v>
      </c>
      <c r="H175">
        <f t="shared" si="35"/>
        <v>162</v>
      </c>
      <c r="I175">
        <f t="shared" si="36"/>
        <v>151.39999999999998</v>
      </c>
      <c r="J175">
        <f t="shared" si="37"/>
        <v>146.1</v>
      </c>
      <c r="K175">
        <f t="shared" si="38"/>
        <v>143.44999999999999</v>
      </c>
      <c r="L175">
        <f t="shared" si="39"/>
        <v>140.79999999999998</v>
      </c>
      <c r="N175">
        <v>50.5</v>
      </c>
      <c r="O175">
        <v>7.97</v>
      </c>
      <c r="P175">
        <f t="shared" si="40"/>
        <v>66.44</v>
      </c>
      <c r="Q175">
        <f t="shared" si="41"/>
        <v>58.47</v>
      </c>
      <c r="R175">
        <f t="shared" si="42"/>
        <v>42.53</v>
      </c>
      <c r="S175">
        <f t="shared" si="43"/>
        <v>34.56</v>
      </c>
      <c r="AC175">
        <v>16.2</v>
      </c>
      <c r="AD175">
        <v>20.2</v>
      </c>
      <c r="AE175">
        <v>27.6</v>
      </c>
    </row>
    <row r="176" spans="1:31" x14ac:dyDescent="0.15">
      <c r="A176">
        <f t="shared" si="45"/>
        <v>14</v>
      </c>
      <c r="B176" s="2">
        <v>6</v>
      </c>
      <c r="C176" s="3">
        <f t="shared" si="33"/>
        <v>14.5</v>
      </c>
      <c r="E176">
        <v>156.80000000000001</v>
      </c>
      <c r="F176">
        <v>5.3</v>
      </c>
      <c r="G176">
        <f t="shared" si="34"/>
        <v>167.4</v>
      </c>
      <c r="H176">
        <f t="shared" si="35"/>
        <v>162.10000000000002</v>
      </c>
      <c r="I176">
        <f t="shared" si="36"/>
        <v>151.5</v>
      </c>
      <c r="J176">
        <f t="shared" si="37"/>
        <v>146.20000000000002</v>
      </c>
      <c r="K176">
        <f t="shared" si="38"/>
        <v>143.55000000000001</v>
      </c>
      <c r="L176">
        <f t="shared" si="39"/>
        <v>140.9</v>
      </c>
      <c r="N176">
        <v>50.7</v>
      </c>
      <c r="O176">
        <v>7.95</v>
      </c>
      <c r="P176">
        <f t="shared" si="40"/>
        <v>66.600000000000009</v>
      </c>
      <c r="Q176">
        <f t="shared" si="41"/>
        <v>58.650000000000006</v>
      </c>
      <c r="R176">
        <f t="shared" si="42"/>
        <v>42.75</v>
      </c>
      <c r="S176">
        <f t="shared" si="43"/>
        <v>34.800000000000004</v>
      </c>
      <c r="AC176">
        <v>16.3</v>
      </c>
      <c r="AD176">
        <v>20.2</v>
      </c>
      <c r="AE176">
        <v>27.6</v>
      </c>
    </row>
    <row r="177" spans="1:31" x14ac:dyDescent="0.15">
      <c r="A177">
        <f t="shared" si="45"/>
        <v>14</v>
      </c>
      <c r="B177" s="2">
        <v>7</v>
      </c>
      <c r="C177" s="3">
        <f t="shared" si="33"/>
        <v>14.583333333333334</v>
      </c>
      <c r="E177">
        <v>156.80000000000001</v>
      </c>
      <c r="F177">
        <v>5.3</v>
      </c>
      <c r="G177">
        <f t="shared" si="34"/>
        <v>167.4</v>
      </c>
      <c r="H177">
        <f t="shared" si="35"/>
        <v>162.10000000000002</v>
      </c>
      <c r="I177">
        <f t="shared" si="36"/>
        <v>151.5</v>
      </c>
      <c r="J177">
        <f t="shared" si="37"/>
        <v>146.20000000000002</v>
      </c>
      <c r="K177">
        <f t="shared" si="38"/>
        <v>143.55000000000001</v>
      </c>
      <c r="L177">
        <f t="shared" si="39"/>
        <v>140.9</v>
      </c>
      <c r="N177">
        <v>50.8</v>
      </c>
      <c r="O177">
        <v>7.98</v>
      </c>
      <c r="P177">
        <f t="shared" si="40"/>
        <v>66.759999999999991</v>
      </c>
      <c r="Q177">
        <f t="shared" si="41"/>
        <v>58.78</v>
      </c>
      <c r="R177">
        <f t="shared" si="42"/>
        <v>42.819999999999993</v>
      </c>
      <c r="S177">
        <f t="shared" si="43"/>
        <v>34.839999999999996</v>
      </c>
      <c r="AC177">
        <v>16.3</v>
      </c>
      <c r="AD177">
        <v>20.3</v>
      </c>
      <c r="AE177">
        <v>27.7</v>
      </c>
    </row>
    <row r="178" spans="1:31" x14ac:dyDescent="0.15">
      <c r="A178">
        <f t="shared" si="45"/>
        <v>14</v>
      </c>
      <c r="B178" s="2">
        <v>8</v>
      </c>
      <c r="C178" s="3">
        <f t="shared" si="33"/>
        <v>14.666666666666666</v>
      </c>
      <c r="E178">
        <v>156.9</v>
      </c>
      <c r="F178">
        <v>5.3</v>
      </c>
      <c r="G178">
        <f t="shared" si="34"/>
        <v>167.5</v>
      </c>
      <c r="H178">
        <f t="shared" si="35"/>
        <v>162.20000000000002</v>
      </c>
      <c r="I178">
        <f t="shared" si="36"/>
        <v>151.6</v>
      </c>
      <c r="J178">
        <f t="shared" si="37"/>
        <v>146.30000000000001</v>
      </c>
      <c r="K178">
        <f t="shared" si="38"/>
        <v>143.65</v>
      </c>
      <c r="L178">
        <f t="shared" si="39"/>
        <v>141</v>
      </c>
      <c r="N178">
        <v>50.9</v>
      </c>
      <c r="O178">
        <v>8</v>
      </c>
      <c r="P178">
        <f t="shared" si="40"/>
        <v>66.900000000000006</v>
      </c>
      <c r="Q178">
        <f t="shared" si="41"/>
        <v>58.9</v>
      </c>
      <c r="R178">
        <f t="shared" si="42"/>
        <v>42.9</v>
      </c>
      <c r="S178">
        <f t="shared" si="43"/>
        <v>34.9</v>
      </c>
      <c r="AC178">
        <v>16.399999999999999</v>
      </c>
      <c r="AD178">
        <v>20.3</v>
      </c>
      <c r="AE178">
        <v>27.8</v>
      </c>
    </row>
    <row r="179" spans="1:31" x14ac:dyDescent="0.15">
      <c r="A179">
        <f t="shared" si="45"/>
        <v>14</v>
      </c>
      <c r="B179" s="2">
        <v>9</v>
      </c>
      <c r="C179" s="3">
        <f t="shared" si="33"/>
        <v>14.75</v>
      </c>
      <c r="E179">
        <v>156.9</v>
      </c>
      <c r="F179">
        <v>5.3</v>
      </c>
      <c r="G179">
        <f t="shared" si="34"/>
        <v>167.5</v>
      </c>
      <c r="H179">
        <f t="shared" si="35"/>
        <v>162.20000000000002</v>
      </c>
      <c r="I179">
        <f t="shared" si="36"/>
        <v>151.6</v>
      </c>
      <c r="J179">
        <f t="shared" si="37"/>
        <v>146.30000000000001</v>
      </c>
      <c r="K179">
        <f t="shared" si="38"/>
        <v>143.65</v>
      </c>
      <c r="L179">
        <f t="shared" si="39"/>
        <v>141</v>
      </c>
      <c r="N179">
        <v>51.1</v>
      </c>
      <c r="O179">
        <v>8.0299999999999994</v>
      </c>
      <c r="P179">
        <f t="shared" si="40"/>
        <v>67.16</v>
      </c>
      <c r="Q179">
        <f t="shared" si="41"/>
        <v>59.13</v>
      </c>
      <c r="R179">
        <f t="shared" si="42"/>
        <v>43.07</v>
      </c>
      <c r="S179">
        <f t="shared" si="43"/>
        <v>35.040000000000006</v>
      </c>
      <c r="AC179">
        <v>16.399999999999999</v>
      </c>
      <c r="AD179">
        <v>20.399999999999999</v>
      </c>
      <c r="AE179">
        <v>27.8</v>
      </c>
    </row>
    <row r="180" spans="1:31" x14ac:dyDescent="0.15">
      <c r="A180">
        <f t="shared" si="45"/>
        <v>14</v>
      </c>
      <c r="B180" s="2">
        <v>10</v>
      </c>
      <c r="C180" s="3">
        <f t="shared" si="33"/>
        <v>14.833333333333334</v>
      </c>
      <c r="E180">
        <v>157</v>
      </c>
      <c r="F180">
        <v>5.3</v>
      </c>
      <c r="G180">
        <f t="shared" si="34"/>
        <v>167.6</v>
      </c>
      <c r="H180">
        <f t="shared" si="35"/>
        <v>162.30000000000001</v>
      </c>
      <c r="I180">
        <f t="shared" si="36"/>
        <v>151.69999999999999</v>
      </c>
      <c r="J180">
        <f t="shared" si="37"/>
        <v>146.4</v>
      </c>
      <c r="K180">
        <f t="shared" si="38"/>
        <v>143.75</v>
      </c>
      <c r="L180">
        <f t="shared" si="39"/>
        <v>141.1</v>
      </c>
      <c r="N180">
        <v>51.2</v>
      </c>
      <c r="O180">
        <v>8.0500000000000007</v>
      </c>
      <c r="P180">
        <f t="shared" si="40"/>
        <v>67.300000000000011</v>
      </c>
      <c r="Q180">
        <f t="shared" si="41"/>
        <v>59.25</v>
      </c>
      <c r="R180">
        <f t="shared" si="42"/>
        <v>43.150000000000006</v>
      </c>
      <c r="S180">
        <f t="shared" si="43"/>
        <v>35.1</v>
      </c>
      <c r="AC180">
        <v>16.399999999999999</v>
      </c>
      <c r="AD180">
        <v>20.399999999999999</v>
      </c>
      <c r="AE180">
        <v>27.8</v>
      </c>
    </row>
    <row r="181" spans="1:31" x14ac:dyDescent="0.15">
      <c r="A181">
        <f t="shared" si="45"/>
        <v>14</v>
      </c>
      <c r="B181" s="2">
        <v>11</v>
      </c>
      <c r="C181" s="3">
        <f t="shared" si="33"/>
        <v>14.916666666666666</v>
      </c>
      <c r="E181">
        <v>157</v>
      </c>
      <c r="F181">
        <v>5.3</v>
      </c>
      <c r="G181">
        <f t="shared" si="34"/>
        <v>167.6</v>
      </c>
      <c r="H181">
        <f t="shared" si="35"/>
        <v>162.30000000000001</v>
      </c>
      <c r="I181">
        <f t="shared" si="36"/>
        <v>151.69999999999999</v>
      </c>
      <c r="J181">
        <f t="shared" si="37"/>
        <v>146.4</v>
      </c>
      <c r="K181">
        <f t="shared" si="38"/>
        <v>143.75</v>
      </c>
      <c r="L181">
        <f t="shared" si="39"/>
        <v>141.1</v>
      </c>
      <c r="N181">
        <v>51.3</v>
      </c>
      <c r="O181">
        <v>8.08</v>
      </c>
      <c r="P181">
        <f t="shared" si="40"/>
        <v>67.459999999999994</v>
      </c>
      <c r="Q181">
        <f t="shared" si="41"/>
        <v>59.379999999999995</v>
      </c>
      <c r="R181">
        <f t="shared" si="42"/>
        <v>43.22</v>
      </c>
      <c r="S181">
        <f t="shared" si="43"/>
        <v>35.14</v>
      </c>
      <c r="AC181">
        <v>16.5</v>
      </c>
      <c r="AD181">
        <v>20.5</v>
      </c>
      <c r="AE181">
        <v>27.9</v>
      </c>
    </row>
    <row r="182" spans="1:31" x14ac:dyDescent="0.15">
      <c r="A182">
        <f t="shared" si="45"/>
        <v>15</v>
      </c>
      <c r="B182" s="2">
        <v>0</v>
      </c>
      <c r="C182" s="3">
        <f t="shared" si="33"/>
        <v>15</v>
      </c>
      <c r="E182">
        <v>157.1</v>
      </c>
      <c r="F182">
        <v>5.3</v>
      </c>
      <c r="G182">
        <f t="shared" si="34"/>
        <v>167.7</v>
      </c>
      <c r="H182">
        <f t="shared" si="35"/>
        <v>162.4</v>
      </c>
      <c r="I182">
        <f t="shared" si="36"/>
        <v>151.79999999999998</v>
      </c>
      <c r="J182">
        <f t="shared" si="37"/>
        <v>146.5</v>
      </c>
      <c r="K182">
        <f t="shared" si="38"/>
        <v>143.85</v>
      </c>
      <c r="L182">
        <f t="shared" si="39"/>
        <v>141.19999999999999</v>
      </c>
      <c r="N182">
        <v>51.4</v>
      </c>
      <c r="O182">
        <v>8.11</v>
      </c>
      <c r="P182">
        <f t="shared" si="40"/>
        <v>67.62</v>
      </c>
      <c r="Q182">
        <f t="shared" si="41"/>
        <v>59.51</v>
      </c>
      <c r="R182">
        <f t="shared" si="42"/>
        <v>43.29</v>
      </c>
      <c r="S182">
        <f t="shared" si="43"/>
        <v>35.18</v>
      </c>
      <c r="AC182">
        <v>16.5</v>
      </c>
      <c r="AD182">
        <v>20.5</v>
      </c>
      <c r="AE182">
        <v>27.9</v>
      </c>
    </row>
    <row r="183" spans="1:31" x14ac:dyDescent="0.15">
      <c r="A183">
        <f t="shared" si="45"/>
        <v>15</v>
      </c>
      <c r="B183" s="2">
        <v>1</v>
      </c>
      <c r="C183" s="3">
        <f t="shared" si="33"/>
        <v>15.083333333333334</v>
      </c>
      <c r="E183">
        <v>157.1</v>
      </c>
      <c r="F183">
        <v>5.3</v>
      </c>
      <c r="G183">
        <f t="shared" si="34"/>
        <v>167.7</v>
      </c>
      <c r="H183">
        <f t="shared" si="35"/>
        <v>162.4</v>
      </c>
      <c r="I183">
        <f t="shared" si="36"/>
        <v>151.79999999999998</v>
      </c>
      <c r="J183">
        <f t="shared" si="37"/>
        <v>146.5</v>
      </c>
      <c r="K183">
        <f t="shared" si="38"/>
        <v>143.85</v>
      </c>
      <c r="L183">
        <f t="shared" si="39"/>
        <v>141.19999999999999</v>
      </c>
      <c r="N183">
        <v>51.5</v>
      </c>
      <c r="O183">
        <v>8.1300000000000008</v>
      </c>
      <c r="P183">
        <f t="shared" si="40"/>
        <v>67.760000000000005</v>
      </c>
      <c r="Q183">
        <f t="shared" si="41"/>
        <v>59.63</v>
      </c>
      <c r="R183">
        <f t="shared" si="42"/>
        <v>43.37</v>
      </c>
      <c r="S183">
        <f t="shared" si="43"/>
        <v>35.239999999999995</v>
      </c>
      <c r="AC183">
        <v>16.600000000000001</v>
      </c>
      <c r="AD183">
        <v>20.5</v>
      </c>
      <c r="AE183">
        <v>28</v>
      </c>
    </row>
    <row r="184" spans="1:31" x14ac:dyDescent="0.15">
      <c r="A184">
        <f t="shared" si="45"/>
        <v>15</v>
      </c>
      <c r="B184" s="2">
        <v>2</v>
      </c>
      <c r="C184" s="3">
        <f t="shared" si="33"/>
        <v>15.166666666666666</v>
      </c>
      <c r="E184">
        <v>157.1</v>
      </c>
      <c r="F184">
        <v>5.2</v>
      </c>
      <c r="G184">
        <f t="shared" si="34"/>
        <v>167.5</v>
      </c>
      <c r="H184">
        <f t="shared" si="35"/>
        <v>162.29999999999998</v>
      </c>
      <c r="I184">
        <f t="shared" si="36"/>
        <v>151.9</v>
      </c>
      <c r="J184">
        <f t="shared" si="37"/>
        <v>146.69999999999999</v>
      </c>
      <c r="K184">
        <f t="shared" si="38"/>
        <v>144.1</v>
      </c>
      <c r="L184">
        <f t="shared" si="39"/>
        <v>141.5</v>
      </c>
      <c r="N184">
        <v>51.6</v>
      </c>
      <c r="O184">
        <v>8.16</v>
      </c>
      <c r="P184">
        <f t="shared" si="40"/>
        <v>67.92</v>
      </c>
      <c r="Q184">
        <f t="shared" si="41"/>
        <v>59.760000000000005</v>
      </c>
      <c r="R184">
        <f t="shared" si="42"/>
        <v>43.44</v>
      </c>
      <c r="S184">
        <f t="shared" si="43"/>
        <v>35.28</v>
      </c>
      <c r="AC184">
        <v>16.600000000000001</v>
      </c>
      <c r="AD184">
        <v>20.6</v>
      </c>
      <c r="AE184">
        <v>28</v>
      </c>
    </row>
    <row r="185" spans="1:31" x14ac:dyDescent="0.15">
      <c r="A185">
        <f t="shared" si="45"/>
        <v>15</v>
      </c>
      <c r="B185" s="2">
        <v>3</v>
      </c>
      <c r="C185" s="3">
        <f t="shared" si="33"/>
        <v>15.25</v>
      </c>
      <c r="E185">
        <v>157.19999999999999</v>
      </c>
      <c r="F185">
        <v>5.2</v>
      </c>
      <c r="G185">
        <f t="shared" si="34"/>
        <v>167.6</v>
      </c>
      <c r="H185">
        <f t="shared" si="35"/>
        <v>162.39999999999998</v>
      </c>
      <c r="I185">
        <f t="shared" si="36"/>
        <v>152</v>
      </c>
      <c r="J185">
        <f t="shared" si="37"/>
        <v>146.79999999999998</v>
      </c>
      <c r="K185">
        <f t="shared" si="38"/>
        <v>144.19999999999999</v>
      </c>
      <c r="L185">
        <f t="shared" si="39"/>
        <v>141.6</v>
      </c>
      <c r="N185">
        <v>51.8</v>
      </c>
      <c r="O185">
        <v>8.18</v>
      </c>
      <c r="P185">
        <f t="shared" si="40"/>
        <v>68.16</v>
      </c>
      <c r="Q185">
        <f t="shared" si="41"/>
        <v>59.98</v>
      </c>
      <c r="R185">
        <f t="shared" si="42"/>
        <v>43.62</v>
      </c>
      <c r="S185">
        <f t="shared" si="43"/>
        <v>35.44</v>
      </c>
      <c r="AC185">
        <v>16.600000000000001</v>
      </c>
      <c r="AD185">
        <v>20.6</v>
      </c>
      <c r="AE185">
        <v>28</v>
      </c>
    </row>
    <row r="186" spans="1:31" x14ac:dyDescent="0.15">
      <c r="A186">
        <f t="shared" si="45"/>
        <v>15</v>
      </c>
      <c r="B186" s="2">
        <v>4</v>
      </c>
      <c r="C186" s="3">
        <f t="shared" si="33"/>
        <v>15.333333333333334</v>
      </c>
      <c r="E186">
        <v>157.19999999999999</v>
      </c>
      <c r="F186">
        <v>5.2</v>
      </c>
      <c r="G186">
        <f t="shared" si="34"/>
        <v>167.6</v>
      </c>
      <c r="H186">
        <f t="shared" si="35"/>
        <v>162.39999999999998</v>
      </c>
      <c r="I186">
        <f t="shared" si="36"/>
        <v>152</v>
      </c>
      <c r="J186">
        <f t="shared" si="37"/>
        <v>146.79999999999998</v>
      </c>
      <c r="K186">
        <f t="shared" si="38"/>
        <v>144.19999999999999</v>
      </c>
      <c r="L186">
        <f t="shared" si="39"/>
        <v>141.6</v>
      </c>
      <c r="N186">
        <v>51.9</v>
      </c>
      <c r="O186">
        <v>8.2100000000000009</v>
      </c>
      <c r="P186">
        <f t="shared" si="40"/>
        <v>68.319999999999993</v>
      </c>
      <c r="Q186">
        <f t="shared" si="41"/>
        <v>60.11</v>
      </c>
      <c r="R186">
        <f t="shared" si="42"/>
        <v>43.69</v>
      </c>
      <c r="S186">
        <f t="shared" si="43"/>
        <v>35.479999999999997</v>
      </c>
      <c r="AC186">
        <v>16.7</v>
      </c>
      <c r="AD186">
        <v>20.6</v>
      </c>
      <c r="AE186">
        <v>28.1</v>
      </c>
    </row>
    <row r="187" spans="1:31" x14ac:dyDescent="0.15">
      <c r="A187">
        <f t="shared" si="45"/>
        <v>15</v>
      </c>
      <c r="B187" s="2">
        <v>5</v>
      </c>
      <c r="C187" s="3">
        <f t="shared" si="33"/>
        <v>15.416666666666666</v>
      </c>
      <c r="E187">
        <v>157.30000000000001</v>
      </c>
      <c r="F187">
        <v>5.2</v>
      </c>
      <c r="G187">
        <f t="shared" si="34"/>
        <v>167.70000000000002</v>
      </c>
      <c r="H187">
        <f t="shared" si="35"/>
        <v>162.5</v>
      </c>
      <c r="I187">
        <f t="shared" si="36"/>
        <v>152.10000000000002</v>
      </c>
      <c r="J187">
        <f t="shared" si="37"/>
        <v>146.9</v>
      </c>
      <c r="K187">
        <f t="shared" si="38"/>
        <v>144.30000000000001</v>
      </c>
      <c r="L187">
        <f t="shared" si="39"/>
        <v>141.70000000000002</v>
      </c>
      <c r="N187">
        <v>52</v>
      </c>
      <c r="O187">
        <v>8.23</v>
      </c>
      <c r="P187">
        <f t="shared" si="40"/>
        <v>68.460000000000008</v>
      </c>
      <c r="Q187">
        <f t="shared" si="41"/>
        <v>60.230000000000004</v>
      </c>
      <c r="R187">
        <f t="shared" si="42"/>
        <v>43.769999999999996</v>
      </c>
      <c r="S187">
        <f t="shared" si="43"/>
        <v>35.54</v>
      </c>
      <c r="AC187">
        <v>16.7</v>
      </c>
      <c r="AD187">
        <v>20.7</v>
      </c>
      <c r="AE187">
        <v>28.1</v>
      </c>
    </row>
    <row r="188" spans="1:31" x14ac:dyDescent="0.15">
      <c r="A188">
        <f t="shared" si="45"/>
        <v>15</v>
      </c>
      <c r="B188" s="2">
        <v>6</v>
      </c>
      <c r="C188" s="3">
        <f t="shared" si="33"/>
        <v>15.5</v>
      </c>
      <c r="E188">
        <v>157.30000000000001</v>
      </c>
      <c r="F188">
        <v>5.2</v>
      </c>
      <c r="G188">
        <f t="shared" si="34"/>
        <v>167.70000000000002</v>
      </c>
      <c r="H188">
        <f t="shared" si="35"/>
        <v>162.5</v>
      </c>
      <c r="I188">
        <f t="shared" si="36"/>
        <v>152.10000000000002</v>
      </c>
      <c r="J188">
        <f t="shared" si="37"/>
        <v>146.9</v>
      </c>
      <c r="K188">
        <f t="shared" si="38"/>
        <v>144.30000000000001</v>
      </c>
      <c r="L188">
        <f t="shared" si="39"/>
        <v>141.70000000000002</v>
      </c>
      <c r="N188">
        <v>52.1</v>
      </c>
      <c r="O188">
        <v>8.26</v>
      </c>
      <c r="P188">
        <f t="shared" si="40"/>
        <v>68.62</v>
      </c>
      <c r="Q188">
        <f t="shared" si="41"/>
        <v>60.36</v>
      </c>
      <c r="R188">
        <f t="shared" si="42"/>
        <v>43.84</v>
      </c>
      <c r="S188">
        <f t="shared" si="43"/>
        <v>35.58</v>
      </c>
      <c r="AC188">
        <v>16.7</v>
      </c>
      <c r="AD188">
        <v>20.7</v>
      </c>
      <c r="AE188">
        <v>28.1</v>
      </c>
    </row>
    <row r="189" spans="1:31" x14ac:dyDescent="0.15">
      <c r="A189">
        <f t="shared" si="45"/>
        <v>15</v>
      </c>
      <c r="B189" s="2">
        <v>7</v>
      </c>
      <c r="C189" s="3">
        <f t="shared" si="33"/>
        <v>15.583333333333334</v>
      </c>
      <c r="E189">
        <v>157.30000000000001</v>
      </c>
      <c r="F189">
        <v>5.2</v>
      </c>
      <c r="G189">
        <f t="shared" si="34"/>
        <v>167.70000000000002</v>
      </c>
      <c r="H189">
        <f t="shared" si="35"/>
        <v>162.5</v>
      </c>
      <c r="I189">
        <f t="shared" si="36"/>
        <v>152.10000000000002</v>
      </c>
      <c r="J189">
        <f t="shared" si="37"/>
        <v>146.9</v>
      </c>
      <c r="K189">
        <f t="shared" si="38"/>
        <v>144.30000000000001</v>
      </c>
      <c r="L189">
        <f t="shared" si="39"/>
        <v>141.70000000000002</v>
      </c>
      <c r="N189">
        <v>52.2</v>
      </c>
      <c r="O189">
        <v>8.2200000000000006</v>
      </c>
      <c r="P189">
        <f t="shared" si="40"/>
        <v>68.64</v>
      </c>
      <c r="Q189">
        <f t="shared" si="41"/>
        <v>60.42</v>
      </c>
      <c r="R189">
        <f t="shared" si="42"/>
        <v>43.980000000000004</v>
      </c>
      <c r="S189">
        <f t="shared" si="43"/>
        <v>35.760000000000005</v>
      </c>
      <c r="AC189">
        <v>16.8</v>
      </c>
      <c r="AD189">
        <v>20.7</v>
      </c>
      <c r="AE189">
        <v>28.2</v>
      </c>
    </row>
    <row r="190" spans="1:31" x14ac:dyDescent="0.15">
      <c r="A190">
        <f t="shared" si="45"/>
        <v>15</v>
      </c>
      <c r="B190" s="2">
        <v>8</v>
      </c>
      <c r="C190" s="3">
        <f t="shared" si="33"/>
        <v>15.666666666666666</v>
      </c>
      <c r="E190">
        <v>157.4</v>
      </c>
      <c r="F190">
        <v>5.2</v>
      </c>
      <c r="G190">
        <f t="shared" si="34"/>
        <v>167.8</v>
      </c>
      <c r="H190">
        <f t="shared" si="35"/>
        <v>162.6</v>
      </c>
      <c r="I190">
        <f t="shared" si="36"/>
        <v>152.20000000000002</v>
      </c>
      <c r="J190">
        <f t="shared" si="37"/>
        <v>147</v>
      </c>
      <c r="K190">
        <f t="shared" si="38"/>
        <v>144.4</v>
      </c>
      <c r="L190">
        <f t="shared" si="39"/>
        <v>141.80000000000001</v>
      </c>
      <c r="N190">
        <v>52.3</v>
      </c>
      <c r="O190">
        <v>8.19</v>
      </c>
      <c r="P190">
        <f t="shared" si="40"/>
        <v>68.679999999999993</v>
      </c>
      <c r="Q190">
        <f t="shared" si="41"/>
        <v>60.489999999999995</v>
      </c>
      <c r="R190">
        <f t="shared" si="42"/>
        <v>44.11</v>
      </c>
      <c r="S190">
        <f t="shared" si="43"/>
        <v>35.92</v>
      </c>
      <c r="AC190">
        <v>16.8</v>
      </c>
      <c r="AD190">
        <v>20.7</v>
      </c>
      <c r="AE190">
        <v>28.2</v>
      </c>
    </row>
    <row r="191" spans="1:31" x14ac:dyDescent="0.15">
      <c r="A191">
        <f t="shared" si="45"/>
        <v>15</v>
      </c>
      <c r="B191" s="2">
        <v>9</v>
      </c>
      <c r="C191" s="3">
        <f t="shared" si="33"/>
        <v>15.75</v>
      </c>
      <c r="E191">
        <v>157.4</v>
      </c>
      <c r="F191">
        <v>5.2</v>
      </c>
      <c r="G191">
        <f t="shared" si="34"/>
        <v>167.8</v>
      </c>
      <c r="H191">
        <f t="shared" si="35"/>
        <v>162.6</v>
      </c>
      <c r="I191">
        <f t="shared" si="36"/>
        <v>152.20000000000002</v>
      </c>
      <c r="J191">
        <f t="shared" si="37"/>
        <v>147</v>
      </c>
      <c r="K191">
        <f t="shared" si="38"/>
        <v>144.4</v>
      </c>
      <c r="L191">
        <f t="shared" si="39"/>
        <v>141.80000000000001</v>
      </c>
      <c r="N191">
        <v>52.3</v>
      </c>
      <c r="O191">
        <v>8.15</v>
      </c>
      <c r="P191">
        <f t="shared" si="40"/>
        <v>68.599999999999994</v>
      </c>
      <c r="Q191">
        <f t="shared" si="41"/>
        <v>60.449999999999996</v>
      </c>
      <c r="R191">
        <f t="shared" si="42"/>
        <v>44.15</v>
      </c>
      <c r="S191">
        <f t="shared" si="43"/>
        <v>36</v>
      </c>
      <c r="AC191">
        <v>16.8</v>
      </c>
      <c r="AD191">
        <v>20.8</v>
      </c>
      <c r="AE191">
        <v>28.2</v>
      </c>
    </row>
    <row r="192" spans="1:31" x14ac:dyDescent="0.15">
      <c r="A192">
        <f t="shared" si="45"/>
        <v>15</v>
      </c>
      <c r="B192" s="2">
        <v>10</v>
      </c>
      <c r="C192" s="3">
        <f t="shared" si="33"/>
        <v>15.833333333333334</v>
      </c>
      <c r="E192">
        <v>157.4</v>
      </c>
      <c r="F192">
        <v>5.2</v>
      </c>
      <c r="G192">
        <f t="shared" si="34"/>
        <v>167.8</v>
      </c>
      <c r="H192">
        <f t="shared" si="35"/>
        <v>162.6</v>
      </c>
      <c r="I192">
        <f t="shared" si="36"/>
        <v>152.20000000000002</v>
      </c>
      <c r="J192">
        <f t="shared" si="37"/>
        <v>147</v>
      </c>
      <c r="K192">
        <f t="shared" si="38"/>
        <v>144.4</v>
      </c>
      <c r="L192">
        <f t="shared" si="39"/>
        <v>141.80000000000001</v>
      </c>
      <c r="N192">
        <v>52.4</v>
      </c>
      <c r="O192">
        <v>8.11</v>
      </c>
      <c r="P192">
        <f t="shared" si="40"/>
        <v>68.62</v>
      </c>
      <c r="Q192">
        <f t="shared" si="41"/>
        <v>60.51</v>
      </c>
      <c r="R192">
        <f t="shared" si="42"/>
        <v>44.29</v>
      </c>
      <c r="S192">
        <f t="shared" si="43"/>
        <v>36.18</v>
      </c>
      <c r="AC192">
        <v>16.899999999999999</v>
      </c>
      <c r="AD192">
        <v>20.8</v>
      </c>
      <c r="AE192">
        <v>28.2</v>
      </c>
    </row>
    <row r="193" spans="1:31" x14ac:dyDescent="0.15">
      <c r="A193">
        <f t="shared" si="45"/>
        <v>15</v>
      </c>
      <c r="B193" s="2">
        <v>11</v>
      </c>
      <c r="C193" s="3">
        <f t="shared" si="33"/>
        <v>15.916666666666666</v>
      </c>
      <c r="E193">
        <v>157.5</v>
      </c>
      <c r="F193">
        <v>5.2</v>
      </c>
      <c r="G193">
        <f t="shared" si="34"/>
        <v>167.9</v>
      </c>
      <c r="H193">
        <f t="shared" si="35"/>
        <v>162.69999999999999</v>
      </c>
      <c r="I193">
        <f t="shared" si="36"/>
        <v>152.30000000000001</v>
      </c>
      <c r="J193">
        <f t="shared" si="37"/>
        <v>147.1</v>
      </c>
      <c r="K193">
        <f t="shared" si="38"/>
        <v>144.5</v>
      </c>
      <c r="L193">
        <f t="shared" si="39"/>
        <v>141.9</v>
      </c>
      <c r="N193">
        <v>52.5</v>
      </c>
      <c r="O193">
        <v>8.07</v>
      </c>
      <c r="P193">
        <f t="shared" si="40"/>
        <v>68.64</v>
      </c>
      <c r="Q193">
        <f t="shared" si="41"/>
        <v>60.57</v>
      </c>
      <c r="R193">
        <f t="shared" si="42"/>
        <v>44.43</v>
      </c>
      <c r="S193">
        <f t="shared" si="43"/>
        <v>36.36</v>
      </c>
      <c r="AC193">
        <v>16.899999999999999</v>
      </c>
      <c r="AD193">
        <v>20.8</v>
      </c>
      <c r="AE193">
        <v>28.2</v>
      </c>
    </row>
    <row r="194" spans="1:31" x14ac:dyDescent="0.15">
      <c r="A194">
        <f t="shared" si="45"/>
        <v>16</v>
      </c>
      <c r="B194" s="2">
        <v>0</v>
      </c>
      <c r="C194" s="3">
        <f t="shared" ref="C194:C212" si="46">A194+B194/12</f>
        <v>16</v>
      </c>
      <c r="E194">
        <v>157.5</v>
      </c>
      <c r="F194">
        <v>5.2</v>
      </c>
      <c r="G194">
        <f t="shared" ref="G194:G212" si="47">$E194+2*$F194</f>
        <v>167.9</v>
      </c>
      <c r="H194">
        <f t="shared" ref="H194:H212" si="48">$E194+$F194</f>
        <v>162.69999999999999</v>
      </c>
      <c r="I194">
        <f t="shared" ref="I194:I212" si="49">$E194-$F194</f>
        <v>152.30000000000001</v>
      </c>
      <c r="J194">
        <f t="shared" ref="J194:J212" si="50">$E194-2*$F194</f>
        <v>147.1</v>
      </c>
      <c r="K194">
        <f t="shared" ref="K194:K212" si="51">$E194-2.5*$F194</f>
        <v>144.5</v>
      </c>
      <c r="L194">
        <f t="shared" ref="L194:L212" si="52">$E194-3*$F194</f>
        <v>141.9</v>
      </c>
      <c r="N194">
        <v>52.6</v>
      </c>
      <c r="O194">
        <v>8.0399999999999991</v>
      </c>
      <c r="P194">
        <f t="shared" ref="P194:P212" si="53">$N194+2*$O194</f>
        <v>68.680000000000007</v>
      </c>
      <c r="Q194">
        <f t="shared" ref="Q194:Q212" si="54">$N194+$O194</f>
        <v>60.64</v>
      </c>
      <c r="R194">
        <f t="shared" ref="R194:R212" si="55">$N194-$O194</f>
        <v>44.56</v>
      </c>
      <c r="S194">
        <f t="shared" ref="S194:S212" si="56">$N194-2*$O194</f>
        <v>36.520000000000003</v>
      </c>
      <c r="AC194">
        <v>16.899999999999999</v>
      </c>
      <c r="AD194">
        <v>20.8</v>
      </c>
      <c r="AE194">
        <v>28.2</v>
      </c>
    </row>
    <row r="195" spans="1:31" x14ac:dyDescent="0.15">
      <c r="A195">
        <f t="shared" si="45"/>
        <v>16</v>
      </c>
      <c r="B195" s="2">
        <v>1</v>
      </c>
      <c r="C195" s="3">
        <f t="shared" si="46"/>
        <v>16.083333333333332</v>
      </c>
      <c r="E195">
        <v>157.5</v>
      </c>
      <c r="F195">
        <v>5.2</v>
      </c>
      <c r="G195">
        <f t="shared" si="47"/>
        <v>167.9</v>
      </c>
      <c r="H195">
        <f t="shared" si="48"/>
        <v>162.69999999999999</v>
      </c>
      <c r="I195">
        <f t="shared" si="49"/>
        <v>152.30000000000001</v>
      </c>
      <c r="J195">
        <f t="shared" si="50"/>
        <v>147.1</v>
      </c>
      <c r="K195">
        <f t="shared" si="51"/>
        <v>144.5</v>
      </c>
      <c r="L195">
        <f t="shared" si="52"/>
        <v>141.9</v>
      </c>
      <c r="N195">
        <v>52.6</v>
      </c>
      <c r="O195">
        <v>8</v>
      </c>
      <c r="P195">
        <f t="shared" si="53"/>
        <v>68.599999999999994</v>
      </c>
      <c r="Q195">
        <f t="shared" si="54"/>
        <v>60.6</v>
      </c>
      <c r="R195">
        <f t="shared" si="55"/>
        <v>44.6</v>
      </c>
      <c r="S195">
        <f t="shared" si="56"/>
        <v>36.6</v>
      </c>
      <c r="AC195">
        <v>16.899999999999999</v>
      </c>
      <c r="AD195">
        <v>20.8</v>
      </c>
      <c r="AE195">
        <v>28.2</v>
      </c>
    </row>
    <row r="196" spans="1:31" x14ac:dyDescent="0.15">
      <c r="A196">
        <f t="shared" si="45"/>
        <v>16</v>
      </c>
      <c r="B196" s="2">
        <v>2</v>
      </c>
      <c r="C196" s="3">
        <f t="shared" si="46"/>
        <v>16.166666666666668</v>
      </c>
      <c r="E196">
        <v>157.6</v>
      </c>
      <c r="F196">
        <v>5.2</v>
      </c>
      <c r="G196">
        <f t="shared" si="47"/>
        <v>168</v>
      </c>
      <c r="H196">
        <f t="shared" si="48"/>
        <v>162.79999999999998</v>
      </c>
      <c r="I196">
        <f t="shared" si="49"/>
        <v>152.4</v>
      </c>
      <c r="J196">
        <f t="shared" si="50"/>
        <v>147.19999999999999</v>
      </c>
      <c r="K196">
        <f t="shared" si="51"/>
        <v>144.6</v>
      </c>
      <c r="L196">
        <f t="shared" si="52"/>
        <v>142</v>
      </c>
      <c r="N196">
        <v>52.7</v>
      </c>
      <c r="O196">
        <v>7.96</v>
      </c>
      <c r="P196">
        <f t="shared" si="53"/>
        <v>68.62</v>
      </c>
      <c r="Q196">
        <f t="shared" si="54"/>
        <v>60.660000000000004</v>
      </c>
      <c r="R196">
        <f t="shared" si="55"/>
        <v>44.74</v>
      </c>
      <c r="S196">
        <f t="shared" si="56"/>
        <v>36.78</v>
      </c>
      <c r="AC196">
        <v>17</v>
      </c>
      <c r="AD196">
        <v>20.9</v>
      </c>
      <c r="AE196">
        <v>28.3</v>
      </c>
    </row>
    <row r="197" spans="1:31" x14ac:dyDescent="0.15">
      <c r="A197">
        <f t="shared" si="45"/>
        <v>16</v>
      </c>
      <c r="B197" s="2">
        <v>3</v>
      </c>
      <c r="C197" s="3">
        <f t="shared" si="46"/>
        <v>16.25</v>
      </c>
      <c r="E197">
        <v>157.6</v>
      </c>
      <c r="F197">
        <v>5.2</v>
      </c>
      <c r="G197">
        <f t="shared" si="47"/>
        <v>168</v>
      </c>
      <c r="H197">
        <f t="shared" si="48"/>
        <v>162.79999999999998</v>
      </c>
      <c r="I197">
        <f t="shared" si="49"/>
        <v>152.4</v>
      </c>
      <c r="J197">
        <f t="shared" si="50"/>
        <v>147.19999999999999</v>
      </c>
      <c r="K197">
        <f t="shared" si="51"/>
        <v>144.6</v>
      </c>
      <c r="L197">
        <f t="shared" si="52"/>
        <v>142</v>
      </c>
      <c r="N197">
        <v>52.8</v>
      </c>
      <c r="O197">
        <v>7.92</v>
      </c>
      <c r="P197">
        <f t="shared" si="53"/>
        <v>68.64</v>
      </c>
      <c r="Q197">
        <f t="shared" si="54"/>
        <v>60.72</v>
      </c>
      <c r="R197">
        <f t="shared" si="55"/>
        <v>44.879999999999995</v>
      </c>
      <c r="S197">
        <f t="shared" si="56"/>
        <v>36.959999999999994</v>
      </c>
      <c r="AC197">
        <v>17</v>
      </c>
      <c r="AD197">
        <v>20.9</v>
      </c>
      <c r="AE197">
        <v>28.3</v>
      </c>
    </row>
    <row r="198" spans="1:31" x14ac:dyDescent="0.15">
      <c r="A198">
        <f t="shared" ref="A198:A212" si="57">A186+1</f>
        <v>16</v>
      </c>
      <c r="B198" s="2">
        <v>4</v>
      </c>
      <c r="C198" s="3">
        <f t="shared" si="46"/>
        <v>16.333333333333332</v>
      </c>
      <c r="E198">
        <v>157.6</v>
      </c>
      <c r="F198">
        <v>5.2</v>
      </c>
      <c r="G198">
        <f t="shared" si="47"/>
        <v>168</v>
      </c>
      <c r="H198">
        <f t="shared" si="48"/>
        <v>162.79999999999998</v>
      </c>
      <c r="I198">
        <f t="shared" si="49"/>
        <v>152.4</v>
      </c>
      <c r="J198">
        <f t="shared" si="50"/>
        <v>147.19999999999999</v>
      </c>
      <c r="K198">
        <f t="shared" si="51"/>
        <v>144.6</v>
      </c>
      <c r="L198">
        <f t="shared" si="52"/>
        <v>142</v>
      </c>
      <c r="N198">
        <v>52.9</v>
      </c>
      <c r="O198">
        <v>7.89</v>
      </c>
      <c r="P198">
        <f t="shared" si="53"/>
        <v>68.679999999999993</v>
      </c>
      <c r="Q198">
        <f t="shared" si="54"/>
        <v>60.79</v>
      </c>
      <c r="R198">
        <f t="shared" si="55"/>
        <v>45.01</v>
      </c>
      <c r="S198">
        <f t="shared" si="56"/>
        <v>37.119999999999997</v>
      </c>
      <c r="AC198">
        <v>17</v>
      </c>
      <c r="AD198">
        <v>20.9</v>
      </c>
      <c r="AE198">
        <v>28.2</v>
      </c>
    </row>
    <row r="199" spans="1:31" x14ac:dyDescent="0.15">
      <c r="A199">
        <f t="shared" si="57"/>
        <v>16</v>
      </c>
      <c r="B199" s="2">
        <v>5</v>
      </c>
      <c r="C199" s="3">
        <f t="shared" si="46"/>
        <v>16.416666666666668</v>
      </c>
      <c r="E199">
        <v>157.69999999999999</v>
      </c>
      <c r="F199">
        <v>5.2</v>
      </c>
      <c r="G199">
        <f t="shared" si="47"/>
        <v>168.1</v>
      </c>
      <c r="H199">
        <f t="shared" si="48"/>
        <v>162.89999999999998</v>
      </c>
      <c r="I199">
        <f t="shared" si="49"/>
        <v>152.5</v>
      </c>
      <c r="J199">
        <f t="shared" si="50"/>
        <v>147.29999999999998</v>
      </c>
      <c r="K199">
        <f t="shared" si="51"/>
        <v>144.69999999999999</v>
      </c>
      <c r="L199">
        <f t="shared" si="52"/>
        <v>142.1</v>
      </c>
      <c r="N199">
        <v>52.9</v>
      </c>
      <c r="O199">
        <v>7.85</v>
      </c>
      <c r="P199">
        <f t="shared" si="53"/>
        <v>68.599999999999994</v>
      </c>
      <c r="Q199">
        <f t="shared" si="54"/>
        <v>60.75</v>
      </c>
      <c r="R199">
        <f t="shared" si="55"/>
        <v>45.05</v>
      </c>
      <c r="S199">
        <f t="shared" si="56"/>
        <v>37.200000000000003</v>
      </c>
      <c r="AC199">
        <v>17</v>
      </c>
      <c r="AD199">
        <v>20.9</v>
      </c>
      <c r="AE199">
        <v>28.2</v>
      </c>
    </row>
    <row r="200" spans="1:31" x14ac:dyDescent="0.15">
      <c r="A200">
        <f t="shared" si="57"/>
        <v>16</v>
      </c>
      <c r="B200" s="2">
        <v>6</v>
      </c>
      <c r="C200" s="3">
        <f t="shared" si="46"/>
        <v>16.5</v>
      </c>
      <c r="E200">
        <v>157.69999999999999</v>
      </c>
      <c r="F200">
        <v>5.2</v>
      </c>
      <c r="G200">
        <f t="shared" si="47"/>
        <v>168.1</v>
      </c>
      <c r="H200">
        <f t="shared" si="48"/>
        <v>162.89999999999998</v>
      </c>
      <c r="I200">
        <f t="shared" si="49"/>
        <v>152.5</v>
      </c>
      <c r="J200">
        <f t="shared" si="50"/>
        <v>147.29999999999998</v>
      </c>
      <c r="K200">
        <f t="shared" si="51"/>
        <v>144.69999999999999</v>
      </c>
      <c r="L200">
        <f t="shared" si="52"/>
        <v>142.1</v>
      </c>
      <c r="N200">
        <v>53</v>
      </c>
      <c r="O200">
        <v>7.81</v>
      </c>
      <c r="P200">
        <f t="shared" si="53"/>
        <v>68.62</v>
      </c>
      <c r="Q200">
        <f t="shared" si="54"/>
        <v>60.81</v>
      </c>
      <c r="R200">
        <f t="shared" si="55"/>
        <v>45.19</v>
      </c>
      <c r="S200">
        <f t="shared" si="56"/>
        <v>37.380000000000003</v>
      </c>
      <c r="AC200">
        <v>17</v>
      </c>
      <c r="AD200">
        <v>20.9</v>
      </c>
      <c r="AE200">
        <v>28.2</v>
      </c>
    </row>
    <row r="201" spans="1:31" x14ac:dyDescent="0.15">
      <c r="A201">
        <f t="shared" si="57"/>
        <v>16</v>
      </c>
      <c r="B201" s="2">
        <v>7</v>
      </c>
      <c r="C201" s="3">
        <f t="shared" si="46"/>
        <v>16.583333333333332</v>
      </c>
      <c r="E201">
        <v>157.69999999999999</v>
      </c>
      <c r="F201">
        <v>5.2</v>
      </c>
      <c r="G201">
        <f t="shared" si="47"/>
        <v>168.1</v>
      </c>
      <c r="H201">
        <f t="shared" si="48"/>
        <v>162.89999999999998</v>
      </c>
      <c r="I201">
        <f t="shared" si="49"/>
        <v>152.5</v>
      </c>
      <c r="J201">
        <f t="shared" si="50"/>
        <v>147.29999999999998</v>
      </c>
      <c r="K201">
        <f t="shared" si="51"/>
        <v>144.69999999999999</v>
      </c>
      <c r="L201">
        <f t="shared" si="52"/>
        <v>142.1</v>
      </c>
      <c r="N201">
        <v>53</v>
      </c>
      <c r="O201">
        <v>7.82</v>
      </c>
      <c r="P201">
        <f t="shared" si="53"/>
        <v>68.64</v>
      </c>
      <c r="Q201">
        <f t="shared" si="54"/>
        <v>60.82</v>
      </c>
      <c r="R201">
        <f t="shared" si="55"/>
        <v>45.18</v>
      </c>
      <c r="S201">
        <f t="shared" si="56"/>
        <v>37.36</v>
      </c>
      <c r="AC201">
        <v>17.100000000000001</v>
      </c>
      <c r="AD201">
        <v>20.9</v>
      </c>
      <c r="AE201">
        <v>28.2</v>
      </c>
    </row>
    <row r="202" spans="1:31" x14ac:dyDescent="0.15">
      <c r="A202">
        <f t="shared" si="57"/>
        <v>16</v>
      </c>
      <c r="B202" s="2">
        <v>8</v>
      </c>
      <c r="C202" s="3">
        <f t="shared" si="46"/>
        <v>16.666666666666668</v>
      </c>
      <c r="E202">
        <v>157.80000000000001</v>
      </c>
      <c r="F202">
        <v>5.2</v>
      </c>
      <c r="G202">
        <f t="shared" si="47"/>
        <v>168.20000000000002</v>
      </c>
      <c r="H202">
        <f t="shared" si="48"/>
        <v>163</v>
      </c>
      <c r="I202">
        <f t="shared" si="49"/>
        <v>152.60000000000002</v>
      </c>
      <c r="J202">
        <f t="shared" si="50"/>
        <v>147.4</v>
      </c>
      <c r="K202">
        <f t="shared" si="51"/>
        <v>144.80000000000001</v>
      </c>
      <c r="L202">
        <f t="shared" si="52"/>
        <v>142.20000000000002</v>
      </c>
      <c r="N202">
        <v>53</v>
      </c>
      <c r="O202">
        <v>7.82</v>
      </c>
      <c r="P202">
        <f t="shared" si="53"/>
        <v>68.64</v>
      </c>
      <c r="Q202">
        <f t="shared" si="54"/>
        <v>60.82</v>
      </c>
      <c r="R202">
        <f t="shared" si="55"/>
        <v>45.18</v>
      </c>
      <c r="S202">
        <f t="shared" si="56"/>
        <v>37.36</v>
      </c>
      <c r="AC202">
        <v>17.100000000000001</v>
      </c>
      <c r="AD202">
        <v>20.9</v>
      </c>
      <c r="AE202">
        <v>28.2</v>
      </c>
    </row>
    <row r="203" spans="1:31" x14ac:dyDescent="0.15">
      <c r="A203">
        <f t="shared" si="57"/>
        <v>16</v>
      </c>
      <c r="B203" s="2">
        <v>9</v>
      </c>
      <c r="C203" s="3">
        <f t="shared" si="46"/>
        <v>16.75</v>
      </c>
      <c r="E203">
        <v>157.80000000000001</v>
      </c>
      <c r="F203">
        <v>5.2</v>
      </c>
      <c r="G203">
        <f t="shared" si="47"/>
        <v>168.20000000000002</v>
      </c>
      <c r="H203">
        <f t="shared" si="48"/>
        <v>163</v>
      </c>
      <c r="I203">
        <f t="shared" si="49"/>
        <v>152.60000000000002</v>
      </c>
      <c r="J203">
        <f t="shared" si="50"/>
        <v>147.4</v>
      </c>
      <c r="K203">
        <f t="shared" si="51"/>
        <v>144.80000000000001</v>
      </c>
      <c r="L203">
        <f t="shared" si="52"/>
        <v>142.20000000000002</v>
      </c>
      <c r="N203">
        <v>53</v>
      </c>
      <c r="O203">
        <v>7.83</v>
      </c>
      <c r="P203">
        <f t="shared" si="53"/>
        <v>68.66</v>
      </c>
      <c r="Q203">
        <f t="shared" si="54"/>
        <v>60.83</v>
      </c>
      <c r="R203">
        <f t="shared" si="55"/>
        <v>45.17</v>
      </c>
      <c r="S203">
        <f t="shared" si="56"/>
        <v>37.340000000000003</v>
      </c>
      <c r="AC203">
        <v>17.100000000000001</v>
      </c>
      <c r="AD203">
        <v>20.9</v>
      </c>
      <c r="AE203">
        <v>28.2</v>
      </c>
    </row>
    <row r="204" spans="1:31" x14ac:dyDescent="0.15">
      <c r="A204">
        <f t="shared" si="57"/>
        <v>16</v>
      </c>
      <c r="B204" s="2">
        <v>10</v>
      </c>
      <c r="C204" s="3">
        <f t="shared" si="46"/>
        <v>16.833333333333332</v>
      </c>
      <c r="E204">
        <v>157.80000000000001</v>
      </c>
      <c r="F204">
        <v>5.2</v>
      </c>
      <c r="G204">
        <f t="shared" si="47"/>
        <v>168.20000000000002</v>
      </c>
      <c r="H204">
        <f t="shared" si="48"/>
        <v>163</v>
      </c>
      <c r="I204">
        <f t="shared" si="49"/>
        <v>152.60000000000002</v>
      </c>
      <c r="J204">
        <f t="shared" si="50"/>
        <v>147.4</v>
      </c>
      <c r="K204">
        <f t="shared" si="51"/>
        <v>144.80000000000001</v>
      </c>
      <c r="L204">
        <f t="shared" si="52"/>
        <v>142.20000000000002</v>
      </c>
      <c r="N204">
        <v>53</v>
      </c>
      <c r="O204">
        <v>7.84</v>
      </c>
      <c r="P204">
        <f t="shared" si="53"/>
        <v>68.680000000000007</v>
      </c>
      <c r="Q204">
        <f t="shared" si="54"/>
        <v>60.84</v>
      </c>
      <c r="R204">
        <f t="shared" si="55"/>
        <v>45.16</v>
      </c>
      <c r="S204">
        <f t="shared" si="56"/>
        <v>37.32</v>
      </c>
      <c r="AC204">
        <v>17.100000000000001</v>
      </c>
      <c r="AD204">
        <v>20.9</v>
      </c>
      <c r="AE204">
        <v>28.2</v>
      </c>
    </row>
    <row r="205" spans="1:31" x14ac:dyDescent="0.15">
      <c r="A205">
        <f t="shared" si="57"/>
        <v>16</v>
      </c>
      <c r="B205" s="2">
        <v>11</v>
      </c>
      <c r="C205" s="3">
        <f t="shared" si="46"/>
        <v>16.916666666666668</v>
      </c>
      <c r="E205">
        <v>157.9</v>
      </c>
      <c r="F205">
        <v>5.2</v>
      </c>
      <c r="G205">
        <f t="shared" si="47"/>
        <v>168.3</v>
      </c>
      <c r="H205">
        <f t="shared" si="48"/>
        <v>163.1</v>
      </c>
      <c r="I205">
        <f t="shared" si="49"/>
        <v>152.70000000000002</v>
      </c>
      <c r="J205">
        <f t="shared" si="50"/>
        <v>147.5</v>
      </c>
      <c r="K205">
        <f t="shared" si="51"/>
        <v>144.9</v>
      </c>
      <c r="L205">
        <f t="shared" si="52"/>
        <v>142.30000000000001</v>
      </c>
      <c r="N205">
        <v>53</v>
      </c>
      <c r="O205">
        <v>7.84</v>
      </c>
      <c r="P205">
        <f t="shared" si="53"/>
        <v>68.680000000000007</v>
      </c>
      <c r="Q205">
        <f t="shared" si="54"/>
        <v>60.84</v>
      </c>
      <c r="R205">
        <f t="shared" si="55"/>
        <v>45.16</v>
      </c>
      <c r="S205">
        <f t="shared" si="56"/>
        <v>37.32</v>
      </c>
      <c r="AC205">
        <v>17.100000000000001</v>
      </c>
      <c r="AD205">
        <v>20.9</v>
      </c>
      <c r="AE205">
        <v>28.1</v>
      </c>
    </row>
    <row r="206" spans="1:31" x14ac:dyDescent="0.15">
      <c r="A206">
        <f t="shared" si="57"/>
        <v>17</v>
      </c>
      <c r="B206" s="2">
        <v>0</v>
      </c>
      <c r="C206" s="3">
        <f t="shared" si="46"/>
        <v>17</v>
      </c>
      <c r="E206">
        <v>157.9</v>
      </c>
      <c r="F206">
        <v>5.2</v>
      </c>
      <c r="G206">
        <f t="shared" si="47"/>
        <v>168.3</v>
      </c>
      <c r="H206">
        <f t="shared" si="48"/>
        <v>163.1</v>
      </c>
      <c r="I206">
        <f t="shared" si="49"/>
        <v>152.70000000000002</v>
      </c>
      <c r="J206">
        <f t="shared" si="50"/>
        <v>147.5</v>
      </c>
      <c r="K206">
        <f t="shared" si="51"/>
        <v>144.9</v>
      </c>
      <c r="L206">
        <f t="shared" si="52"/>
        <v>142.30000000000001</v>
      </c>
      <c r="N206">
        <v>53.1</v>
      </c>
      <c r="O206">
        <v>7.85</v>
      </c>
      <c r="P206">
        <f t="shared" si="53"/>
        <v>68.8</v>
      </c>
      <c r="Q206">
        <f t="shared" si="54"/>
        <v>60.95</v>
      </c>
      <c r="R206">
        <f t="shared" si="55"/>
        <v>45.25</v>
      </c>
      <c r="S206">
        <f t="shared" si="56"/>
        <v>37.400000000000006</v>
      </c>
      <c r="AC206">
        <v>17.100000000000001</v>
      </c>
      <c r="AD206">
        <v>20.9</v>
      </c>
      <c r="AE206">
        <v>28.1</v>
      </c>
    </row>
    <row r="207" spans="1:31" x14ac:dyDescent="0.15">
      <c r="A207">
        <f t="shared" si="57"/>
        <v>17</v>
      </c>
      <c r="B207" s="2">
        <v>1</v>
      </c>
      <c r="C207" s="3">
        <f t="shared" si="46"/>
        <v>17.083333333333332</v>
      </c>
      <c r="E207">
        <v>157.9</v>
      </c>
      <c r="F207">
        <v>5.2</v>
      </c>
      <c r="G207">
        <f t="shared" si="47"/>
        <v>168.3</v>
      </c>
      <c r="H207">
        <f t="shared" si="48"/>
        <v>163.1</v>
      </c>
      <c r="I207">
        <f t="shared" si="49"/>
        <v>152.70000000000002</v>
      </c>
      <c r="J207">
        <f t="shared" si="50"/>
        <v>147.5</v>
      </c>
      <c r="K207">
        <f t="shared" si="51"/>
        <v>144.9</v>
      </c>
      <c r="L207">
        <f t="shared" si="52"/>
        <v>142.30000000000001</v>
      </c>
      <c r="N207">
        <v>53.1</v>
      </c>
      <c r="O207">
        <v>7.86</v>
      </c>
      <c r="P207">
        <f t="shared" si="53"/>
        <v>68.820000000000007</v>
      </c>
      <c r="Q207">
        <f t="shared" si="54"/>
        <v>60.96</v>
      </c>
      <c r="R207">
        <f t="shared" si="55"/>
        <v>45.24</v>
      </c>
      <c r="S207">
        <f t="shared" si="56"/>
        <v>37.380000000000003</v>
      </c>
      <c r="AC207">
        <v>17.100000000000001</v>
      </c>
      <c r="AD207">
        <v>20.9</v>
      </c>
      <c r="AE207">
        <v>28.1</v>
      </c>
    </row>
    <row r="208" spans="1:31" x14ac:dyDescent="0.15">
      <c r="A208">
        <f t="shared" si="57"/>
        <v>17</v>
      </c>
      <c r="B208" s="2">
        <v>2</v>
      </c>
      <c r="C208" s="3">
        <f t="shared" si="46"/>
        <v>17.166666666666668</v>
      </c>
      <c r="E208">
        <v>158</v>
      </c>
      <c r="F208">
        <v>5.2</v>
      </c>
      <c r="G208">
        <f t="shared" si="47"/>
        <v>168.4</v>
      </c>
      <c r="H208">
        <f t="shared" si="48"/>
        <v>163.19999999999999</v>
      </c>
      <c r="I208">
        <f t="shared" si="49"/>
        <v>152.80000000000001</v>
      </c>
      <c r="J208">
        <f t="shared" si="50"/>
        <v>147.6</v>
      </c>
      <c r="K208">
        <f t="shared" si="51"/>
        <v>145</v>
      </c>
      <c r="L208">
        <f t="shared" si="52"/>
        <v>142.4</v>
      </c>
      <c r="N208">
        <v>53.1</v>
      </c>
      <c r="O208">
        <v>7.86</v>
      </c>
      <c r="P208">
        <f t="shared" si="53"/>
        <v>68.820000000000007</v>
      </c>
      <c r="Q208">
        <f t="shared" si="54"/>
        <v>60.96</v>
      </c>
      <c r="R208">
        <f t="shared" si="55"/>
        <v>45.24</v>
      </c>
      <c r="S208">
        <f t="shared" si="56"/>
        <v>37.380000000000003</v>
      </c>
      <c r="AC208">
        <v>17.100000000000001</v>
      </c>
      <c r="AD208">
        <v>20.9</v>
      </c>
      <c r="AE208">
        <v>28</v>
      </c>
    </row>
    <row r="209" spans="1:31" x14ac:dyDescent="0.15">
      <c r="A209">
        <f t="shared" si="57"/>
        <v>17</v>
      </c>
      <c r="B209" s="2">
        <v>3</v>
      </c>
      <c r="C209" s="3">
        <f t="shared" si="46"/>
        <v>17.25</v>
      </c>
      <c r="E209">
        <v>158</v>
      </c>
      <c r="F209">
        <v>5.2</v>
      </c>
      <c r="G209">
        <f t="shared" si="47"/>
        <v>168.4</v>
      </c>
      <c r="H209">
        <f t="shared" si="48"/>
        <v>163.19999999999999</v>
      </c>
      <c r="I209">
        <f t="shared" si="49"/>
        <v>152.80000000000001</v>
      </c>
      <c r="J209">
        <f t="shared" si="50"/>
        <v>147.6</v>
      </c>
      <c r="K209">
        <f t="shared" si="51"/>
        <v>145</v>
      </c>
      <c r="L209">
        <f t="shared" si="52"/>
        <v>142.4</v>
      </c>
      <c r="N209">
        <v>53.1</v>
      </c>
      <c r="O209">
        <v>7.87</v>
      </c>
      <c r="P209">
        <f t="shared" si="53"/>
        <v>68.84</v>
      </c>
      <c r="Q209">
        <f t="shared" si="54"/>
        <v>60.97</v>
      </c>
      <c r="R209">
        <f t="shared" si="55"/>
        <v>45.230000000000004</v>
      </c>
      <c r="S209">
        <f t="shared" si="56"/>
        <v>37.36</v>
      </c>
      <c r="AC209">
        <v>17.100000000000001</v>
      </c>
      <c r="AD209">
        <v>20.9</v>
      </c>
      <c r="AE209">
        <v>28</v>
      </c>
    </row>
    <row r="210" spans="1:31" x14ac:dyDescent="0.15">
      <c r="A210">
        <f t="shared" si="57"/>
        <v>17</v>
      </c>
      <c r="B210" s="2">
        <v>4</v>
      </c>
      <c r="C210" s="3">
        <f t="shared" si="46"/>
        <v>17.333333333333332</v>
      </c>
      <c r="E210">
        <v>158</v>
      </c>
      <c r="F210">
        <v>5.2</v>
      </c>
      <c r="G210">
        <f t="shared" si="47"/>
        <v>168.4</v>
      </c>
      <c r="H210">
        <f t="shared" si="48"/>
        <v>163.19999999999999</v>
      </c>
      <c r="I210">
        <f t="shared" si="49"/>
        <v>152.80000000000001</v>
      </c>
      <c r="J210">
        <f t="shared" si="50"/>
        <v>147.6</v>
      </c>
      <c r="K210">
        <f t="shared" si="51"/>
        <v>145</v>
      </c>
      <c r="L210">
        <f t="shared" si="52"/>
        <v>142.4</v>
      </c>
      <c r="N210">
        <v>53.1</v>
      </c>
      <c r="O210">
        <v>7.88</v>
      </c>
      <c r="P210">
        <f t="shared" si="53"/>
        <v>68.86</v>
      </c>
      <c r="Q210">
        <f t="shared" si="54"/>
        <v>60.980000000000004</v>
      </c>
      <c r="R210">
        <f t="shared" si="55"/>
        <v>45.22</v>
      </c>
      <c r="S210">
        <f t="shared" si="56"/>
        <v>37.340000000000003</v>
      </c>
      <c r="AC210">
        <v>17.100000000000001</v>
      </c>
      <c r="AD210">
        <v>20.9</v>
      </c>
      <c r="AE210">
        <v>27.9</v>
      </c>
    </row>
    <row r="211" spans="1:31" x14ac:dyDescent="0.15">
      <c r="A211">
        <f t="shared" si="57"/>
        <v>17</v>
      </c>
      <c r="B211" s="2">
        <v>5</v>
      </c>
      <c r="C211" s="3">
        <f t="shared" si="46"/>
        <v>17.416666666666668</v>
      </c>
      <c r="E211">
        <v>158.1</v>
      </c>
      <c r="F211">
        <v>5.2</v>
      </c>
      <c r="G211">
        <f t="shared" si="47"/>
        <v>168.5</v>
      </c>
      <c r="H211">
        <f t="shared" si="48"/>
        <v>163.29999999999998</v>
      </c>
      <c r="I211">
        <f t="shared" si="49"/>
        <v>152.9</v>
      </c>
      <c r="J211">
        <f t="shared" si="50"/>
        <v>147.69999999999999</v>
      </c>
      <c r="K211">
        <f t="shared" si="51"/>
        <v>145.1</v>
      </c>
      <c r="L211">
        <f t="shared" si="52"/>
        <v>142.5</v>
      </c>
      <c r="N211">
        <v>53.1</v>
      </c>
      <c r="O211">
        <v>7.88</v>
      </c>
      <c r="P211">
        <f t="shared" si="53"/>
        <v>68.86</v>
      </c>
      <c r="Q211">
        <f t="shared" si="54"/>
        <v>60.980000000000004</v>
      </c>
      <c r="R211">
        <f t="shared" si="55"/>
        <v>45.22</v>
      </c>
      <c r="S211">
        <f t="shared" si="56"/>
        <v>37.340000000000003</v>
      </c>
      <c r="AC211">
        <v>17.100000000000001</v>
      </c>
      <c r="AD211">
        <v>20.9</v>
      </c>
      <c r="AE211">
        <v>27.9</v>
      </c>
    </row>
    <row r="212" spans="1:31" x14ac:dyDescent="0.15">
      <c r="A212">
        <f t="shared" si="57"/>
        <v>17</v>
      </c>
      <c r="B212" s="2">
        <v>6</v>
      </c>
      <c r="C212" s="3">
        <f t="shared" si="46"/>
        <v>17.5</v>
      </c>
      <c r="E212">
        <v>158.1</v>
      </c>
      <c r="F212">
        <v>5.3</v>
      </c>
      <c r="G212">
        <f t="shared" si="47"/>
        <v>168.7</v>
      </c>
      <c r="H212">
        <f t="shared" si="48"/>
        <v>163.4</v>
      </c>
      <c r="I212">
        <f t="shared" si="49"/>
        <v>152.79999999999998</v>
      </c>
      <c r="J212">
        <f t="shared" si="50"/>
        <v>147.5</v>
      </c>
      <c r="K212">
        <f t="shared" si="51"/>
        <v>144.85</v>
      </c>
      <c r="L212">
        <f t="shared" si="52"/>
        <v>142.19999999999999</v>
      </c>
      <c r="N212">
        <v>53.1</v>
      </c>
      <c r="O212">
        <v>7.89</v>
      </c>
      <c r="P212">
        <f t="shared" si="53"/>
        <v>68.88</v>
      </c>
      <c r="Q212">
        <f t="shared" si="54"/>
        <v>60.99</v>
      </c>
      <c r="R212">
        <f t="shared" si="55"/>
        <v>45.21</v>
      </c>
      <c r="S212">
        <f t="shared" si="56"/>
        <v>37.32</v>
      </c>
      <c r="AC212">
        <v>17.100000000000001</v>
      </c>
      <c r="AD212">
        <v>20.9</v>
      </c>
      <c r="AE212">
        <v>27.8</v>
      </c>
    </row>
    <row r="214" spans="1:31" x14ac:dyDescent="0.15">
      <c r="A214">
        <v>8</v>
      </c>
      <c r="B214" s="2">
        <v>10</v>
      </c>
      <c r="S214" s="1" t="s">
        <v>3</v>
      </c>
      <c r="T214" s="1"/>
      <c r="U214">
        <f>A214+B214/12</f>
        <v>8.8333333333333339</v>
      </c>
      <c r="V214" s="3">
        <v>8.6999999999999993</v>
      </c>
      <c r="W214">
        <v>1.3</v>
      </c>
      <c r="X214">
        <f>$V214+2*$W214</f>
        <v>11.299999999999999</v>
      </c>
      <c r="Y214">
        <f>$V214+$W214</f>
        <v>10</v>
      </c>
      <c r="Z214">
        <f>$V214-$W214</f>
        <v>7.3999999999999995</v>
      </c>
      <c r="AA214">
        <f>$V214-2*$W214</f>
        <v>6.1</v>
      </c>
    </row>
    <row r="215" spans="1:31" x14ac:dyDescent="0.15">
      <c r="A215">
        <v>9</v>
      </c>
      <c r="B215" s="2">
        <v>11</v>
      </c>
      <c r="S215" s="1" t="s">
        <v>171</v>
      </c>
      <c r="T215" s="1"/>
      <c r="U215">
        <f>A215+B215/12</f>
        <v>9.9166666666666661</v>
      </c>
      <c r="V215" s="3">
        <v>8.6999999999999993</v>
      </c>
      <c r="W215">
        <v>1.1000000000000001</v>
      </c>
      <c r="X215">
        <f>$V215+2*$W215</f>
        <v>10.899999999999999</v>
      </c>
      <c r="Y215">
        <f>$V215+$W215</f>
        <v>9.7999999999999989</v>
      </c>
      <c r="Z215">
        <f>$V215-$W215</f>
        <v>7.6</v>
      </c>
      <c r="AA215">
        <f>$V215-2*$W215</f>
        <v>6.4999999999999991</v>
      </c>
    </row>
    <row r="216" spans="1:31" x14ac:dyDescent="0.15">
      <c r="A216">
        <v>11</v>
      </c>
      <c r="B216" s="2">
        <v>0</v>
      </c>
      <c r="S216" t="s">
        <v>172</v>
      </c>
      <c r="U216">
        <f>A216+B216/12</f>
        <v>11</v>
      </c>
      <c r="V216" s="3">
        <v>8.3000000000000007</v>
      </c>
      <c r="W216">
        <v>1</v>
      </c>
      <c r="X216">
        <f>$V216+2*$W216</f>
        <v>10.3</v>
      </c>
      <c r="Y216">
        <f>$V216+$W216</f>
        <v>9.3000000000000007</v>
      </c>
      <c r="Z216">
        <f>$V216-$W216</f>
        <v>7.3000000000000007</v>
      </c>
      <c r="AA216">
        <f>$V216-2*$W216</f>
        <v>6.3000000000000007</v>
      </c>
    </row>
    <row r="217" spans="1:31" x14ac:dyDescent="0.15">
      <c r="A217">
        <v>12</v>
      </c>
      <c r="B217" s="2">
        <v>1</v>
      </c>
      <c r="S217" s="1" t="s">
        <v>0</v>
      </c>
      <c r="T217" s="1"/>
      <c r="U217">
        <f>A217+B217/12</f>
        <v>12.083333333333334</v>
      </c>
      <c r="V217" s="3">
        <v>8.1</v>
      </c>
      <c r="W217">
        <v>1.1000000000000001</v>
      </c>
      <c r="X217">
        <f>$V217+2*$W217</f>
        <v>10.3</v>
      </c>
      <c r="Y217">
        <f>$V217+$W217</f>
        <v>9.1999999999999993</v>
      </c>
      <c r="Z217">
        <f>$V217-$W217</f>
        <v>7</v>
      </c>
      <c r="AA217">
        <f>$V217-2*$W217</f>
        <v>5.8999999999999995</v>
      </c>
    </row>
    <row r="218" spans="1:31" x14ac:dyDescent="0.15">
      <c r="A218">
        <v>13</v>
      </c>
      <c r="B218" s="2">
        <v>2</v>
      </c>
      <c r="S218" s="1" t="s">
        <v>2</v>
      </c>
      <c r="T218" s="1"/>
      <c r="U218">
        <f>A218+B218/12</f>
        <v>13.166666666666666</v>
      </c>
      <c r="V218" s="3">
        <v>7.6</v>
      </c>
      <c r="W218">
        <v>1.1000000000000001</v>
      </c>
      <c r="X218">
        <f>$V218+2*$W218</f>
        <v>9.8000000000000007</v>
      </c>
      <c r="Y218">
        <f>$V218+$W218</f>
        <v>8.6999999999999993</v>
      </c>
      <c r="Z218">
        <f>$V218-$W218</f>
        <v>6.5</v>
      </c>
      <c r="AA218">
        <f>$V218-2*$W218</f>
        <v>5.3999999999999995</v>
      </c>
    </row>
  </sheetData>
  <sheetProtection sheet="1" objects="1" scenarios="1"/>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workbookViewId="0">
      <selection activeCell="H11" sqref="H11"/>
    </sheetView>
  </sheetViews>
  <sheetFormatPr baseColWidth="12" defaultColWidth="8.83203125" defaultRowHeight="14" x14ac:dyDescent="0.15"/>
  <sheetData>
    <row r="1" spans="1:23" x14ac:dyDescent="0.15">
      <c r="A1" t="s">
        <v>79</v>
      </c>
    </row>
    <row r="2" spans="1:23" x14ac:dyDescent="0.15">
      <c r="A2" t="s">
        <v>148</v>
      </c>
    </row>
    <row r="3" spans="1:23" x14ac:dyDescent="0.15">
      <c r="A3" t="s">
        <v>105</v>
      </c>
    </row>
    <row r="4" spans="1:23" x14ac:dyDescent="0.15">
      <c r="A4" t="s">
        <v>104</v>
      </c>
    </row>
    <row r="5" spans="1:23" x14ac:dyDescent="0.15">
      <c r="A5" t="s">
        <v>112</v>
      </c>
    </row>
    <row r="6" spans="1:23" x14ac:dyDescent="0.15">
      <c r="A6" t="str">
        <f>"乳児（"&amp;入力!$B$2&amp;"子）身体発育曲線（頭囲）"</f>
        <v>乳児（子）身体発育曲線（頭囲）</v>
      </c>
    </row>
    <row r="7" spans="1:23" x14ac:dyDescent="0.15">
      <c r="A7" t="str">
        <f>"幼児（"&amp;入力!$B$2&amp;"子）身体発育曲線（頭囲）"</f>
        <v>幼児（子）身体発育曲線（頭囲）</v>
      </c>
    </row>
    <row r="9" spans="1:23" ht="13.5" customHeight="1" x14ac:dyDescent="0.15">
      <c r="A9" t="s">
        <v>80</v>
      </c>
      <c r="B9" t="s">
        <v>82</v>
      </c>
      <c r="D9" t="s">
        <v>81</v>
      </c>
      <c r="E9" t="s">
        <v>160</v>
      </c>
      <c r="H9" t="s">
        <v>82</v>
      </c>
      <c r="I9" t="s">
        <v>120</v>
      </c>
      <c r="J9" t="s">
        <v>129</v>
      </c>
      <c r="K9" t="s">
        <v>122</v>
      </c>
      <c r="L9" t="s">
        <v>123</v>
      </c>
      <c r="M9" t="s">
        <v>124</v>
      </c>
      <c r="N9" t="s">
        <v>125</v>
      </c>
      <c r="O9" t="s">
        <v>126</v>
      </c>
      <c r="Q9" t="s">
        <v>106</v>
      </c>
      <c r="T9" t="s">
        <v>107</v>
      </c>
      <c r="U9" t="s">
        <v>108</v>
      </c>
      <c r="V9" t="s">
        <v>109</v>
      </c>
      <c r="W9">
        <v>1</v>
      </c>
    </row>
    <row r="10" spans="1:23" ht="13.5" customHeight="1" x14ac:dyDescent="0.15">
      <c r="A10">
        <v>0</v>
      </c>
      <c r="B10">
        <v>0</v>
      </c>
      <c r="C10">
        <f>A10+B10/12</f>
        <v>0</v>
      </c>
      <c r="D10">
        <f>IF(頭囲データ!C2="男",頭囲_男!D2,頭囲_女!D2)</f>
        <v>32.9</v>
      </c>
      <c r="E10">
        <f>IF(頭囲データ!D2="男",頭囲_男!E2,頭囲_女!E2)</f>
        <v>1.4</v>
      </c>
      <c r="G10" t="s">
        <v>83</v>
      </c>
      <c r="H10">
        <v>0</v>
      </c>
      <c r="I10">
        <f>IF(入力!$B$2="男",頭囲_男!I2,頭囲_女!I2)</f>
        <v>30.4</v>
      </c>
      <c r="J10">
        <f>IF(入力!$B$2="男",頭囲_男!J2,頭囲_女!J2)</f>
        <v>31.3</v>
      </c>
      <c r="K10">
        <f>IF(入力!$B$2="男",頭囲_男!K2,頭囲_女!K2)</f>
        <v>32.200000000000003</v>
      </c>
      <c r="L10">
        <f>IF(入力!$B$2="男",頭囲_男!L2,頭囲_女!L2)</f>
        <v>33</v>
      </c>
      <c r="M10">
        <f>IF(入力!$B$2="男",頭囲_男!M2,頭囲_女!M2)</f>
        <v>33.799999999999997</v>
      </c>
      <c r="N10">
        <f>IF(入力!$B$2="男",頭囲_男!N2,頭囲_女!N2)</f>
        <v>34.6</v>
      </c>
      <c r="O10">
        <f>IF(入力!$B$2="男",頭囲_男!O2,頭囲_女!O2)</f>
        <v>35.299999999999997</v>
      </c>
      <c r="Q10" t="s">
        <v>38</v>
      </c>
      <c r="R10">
        <v>0</v>
      </c>
      <c r="S10">
        <v>2</v>
      </c>
      <c r="T10">
        <f>IF(入力!$B$2="男",頭囲_男!T2,頭囲_女!T2)</f>
        <v>0.60315925299999995</v>
      </c>
      <c r="U10">
        <f>IF(入力!$B$2="男",頭囲_男!U2,頭囲_女!U2)</f>
        <v>-2.6898935000000002</v>
      </c>
      <c r="V10">
        <f>IF(入力!$B$2="男",頭囲_男!V2,頭囲_女!V2)</f>
        <v>2.0971690000000001</v>
      </c>
      <c r="W10">
        <f>IF(入力!$B$2="男",頭囲_男!W2,頭囲_女!W2)</f>
        <v>3.1630250000000002</v>
      </c>
    </row>
    <row r="11" spans="1:23" x14ac:dyDescent="0.15">
      <c r="A11">
        <v>0</v>
      </c>
      <c r="B11">
        <v>1</v>
      </c>
      <c r="C11">
        <f t="shared" ref="C11:C74" si="0">A11+B11/12</f>
        <v>8.3333333333333329E-2</v>
      </c>
      <c r="D11">
        <f>IF(頭囲データ!C3="男",頭囲_男!D3,頭囲_女!D3)</f>
        <v>35.799999999999997</v>
      </c>
      <c r="E11">
        <f>IF(頭囲データ!D3="男",頭囲_男!E3,頭囲_女!E3)</f>
        <v>1.3</v>
      </c>
      <c r="G11" t="s">
        <v>128</v>
      </c>
      <c r="H11">
        <f>5/30</f>
        <v>0.16666666666666666</v>
      </c>
      <c r="I11">
        <f>IF(入力!$B$2="男",頭囲_男!I2,頭囲_女!I2)</f>
        <v>30.4</v>
      </c>
      <c r="J11">
        <f>IF(入力!$B$2="男",頭囲_男!J2,頭囲_女!J2)</f>
        <v>31.3</v>
      </c>
      <c r="K11">
        <f>IF(入力!$B$2="男",頭囲_男!K2,頭囲_女!K2)</f>
        <v>32.200000000000003</v>
      </c>
      <c r="L11">
        <f>IF(入力!$B$2="男",頭囲_男!L2,頭囲_女!L2)</f>
        <v>33</v>
      </c>
      <c r="M11">
        <f>IF(入力!$B$2="男",頭囲_男!M2,頭囲_女!M2)</f>
        <v>33.799999999999997</v>
      </c>
      <c r="N11">
        <f>IF(入力!$B$2="男",頭囲_男!N2,頭囲_女!N2)</f>
        <v>34.6</v>
      </c>
      <c r="O11">
        <f>IF(入力!$B$2="男",頭囲_男!O2,頭囲_女!O2)</f>
        <v>35.299999999999997</v>
      </c>
      <c r="R11">
        <v>2</v>
      </c>
      <c r="T11">
        <f>IF(入力!$B$2="男",頭囲_男!T3,頭囲_女!T3)</f>
        <v>-0.16867135</v>
      </c>
      <c r="U11">
        <f>IF(入力!$B$2="男",頭囲_男!U3,頭囲_女!U3)</f>
        <v>1.9410900600000001</v>
      </c>
      <c r="V11">
        <f>IF(入力!$B$2="男",頭囲_男!V3,頭囲_女!V3)</f>
        <v>-7.1647999999999996</v>
      </c>
      <c r="W11">
        <f>IF(入力!$B$2="男",頭囲_男!W3,頭囲_女!W3)</f>
        <v>9.3376699999999992</v>
      </c>
    </row>
    <row r="12" spans="1:23" x14ac:dyDescent="0.15">
      <c r="A12">
        <v>0</v>
      </c>
      <c r="B12">
        <v>2</v>
      </c>
      <c r="C12">
        <f t="shared" si="0"/>
        <v>0.16666666666666666</v>
      </c>
      <c r="D12">
        <f>IF(頭囲データ!C4="男",頭囲_男!D4,頭囲_女!D4)</f>
        <v>38</v>
      </c>
      <c r="E12">
        <f>IF(頭囲データ!D4="男",頭囲_男!E4,頭囲_女!E4)</f>
        <v>1.2</v>
      </c>
      <c r="G12" t="s">
        <v>84</v>
      </c>
      <c r="H12">
        <v>1</v>
      </c>
      <c r="I12">
        <f>IF(入力!$B$2="男",頭囲_男!I3,頭囲_女!I3)</f>
        <v>33.5</v>
      </c>
      <c r="J12">
        <f>IF(入力!$B$2="男",頭囲_男!J3,頭囲_女!J3)</f>
        <v>34.4</v>
      </c>
      <c r="K12">
        <f>IF(入力!$B$2="男",頭囲_男!K3,頭囲_女!K3)</f>
        <v>35.200000000000003</v>
      </c>
      <c r="L12">
        <f>IF(入力!$B$2="男",頭囲_男!L3,頭囲_女!L3)</f>
        <v>36</v>
      </c>
      <c r="M12">
        <f>IF(入力!$B$2="男",頭囲_男!M3,頭囲_女!M3)</f>
        <v>36.799999999999997</v>
      </c>
      <c r="N12">
        <f>IF(入力!$B$2="男",頭囲_男!N3,頭囲_女!N3)</f>
        <v>37.6</v>
      </c>
      <c r="O12">
        <f>IF(入力!$B$2="男",頭囲_男!O3,頭囲_女!O3)</f>
        <v>38.299999999999997</v>
      </c>
      <c r="Q12" t="s">
        <v>110</v>
      </c>
      <c r="R12">
        <v>0</v>
      </c>
      <c r="S12">
        <v>0.5</v>
      </c>
      <c r="T12">
        <f>IF(入力!$B$2="男",頭囲_男!T4,頭囲_女!T4)</f>
        <v>37.882255319999999</v>
      </c>
      <c r="U12">
        <f>IF(入力!$B$2="男",頭囲_男!U4,頭囲_女!U4)</f>
        <v>-60.200429999999997</v>
      </c>
      <c r="V12">
        <f>IF(入力!$B$2="男",頭囲_男!V4,頭囲_女!V4)</f>
        <v>38.818800000000003</v>
      </c>
      <c r="W12">
        <f>IF(入力!$B$2="男",頭囲_男!W4,頭囲_女!W4)</f>
        <v>33.061610000000002</v>
      </c>
    </row>
    <row r="13" spans="1:23" x14ac:dyDescent="0.15">
      <c r="A13">
        <v>0</v>
      </c>
      <c r="B13">
        <v>3</v>
      </c>
      <c r="C13">
        <f t="shared" si="0"/>
        <v>0.25</v>
      </c>
      <c r="D13">
        <f>IF(頭囲データ!C5="男",頭囲_男!D5,頭囲_女!D5)</f>
        <v>39.5</v>
      </c>
      <c r="E13">
        <f>IF(頭囲データ!D5="男",頭囲_男!E5,頭囲_女!E5)</f>
        <v>1.2</v>
      </c>
      <c r="G13" t="s">
        <v>85</v>
      </c>
      <c r="H13">
        <v>1.5</v>
      </c>
      <c r="I13">
        <f>IF(入力!$B$2="男",頭囲_男!I4,頭囲_女!I4)</f>
        <v>34.799999999999997</v>
      </c>
      <c r="J13">
        <f>IF(入力!$B$2="男",頭囲_男!J4,頭囲_女!J4)</f>
        <v>35.6</v>
      </c>
      <c r="K13">
        <f>IF(入力!$B$2="男",頭囲_男!K4,頭囲_女!K4)</f>
        <v>36.299999999999997</v>
      </c>
      <c r="L13">
        <f>IF(入力!$B$2="男",頭囲_男!L4,頭囲_女!L4)</f>
        <v>37.1</v>
      </c>
      <c r="M13">
        <f>IF(入力!$B$2="男",頭囲_男!M4,頭囲_女!M4)</f>
        <v>37.9</v>
      </c>
      <c r="N13">
        <f>IF(入力!$B$2="男",頭囲_男!N4,頭囲_女!N4)</f>
        <v>38.700000000000003</v>
      </c>
      <c r="O13">
        <f>IF(入力!$B$2="男",頭囲_男!O4,頭囲_女!O4)</f>
        <v>39.4</v>
      </c>
      <c r="R13">
        <v>0.5</v>
      </c>
      <c r="S13">
        <v>1</v>
      </c>
      <c r="T13">
        <f>IF(入力!$B$2="男",頭囲_男!T5,頭囲_女!T5)</f>
        <v>0.55107402000000005</v>
      </c>
      <c r="U13">
        <f>IF(入力!$B$2="男",頭囲_男!U5,頭囲_女!U5)</f>
        <v>-4.2036575999999997</v>
      </c>
      <c r="V13">
        <f>IF(入力!$B$2="男",頭囲_男!V5,頭囲_女!V5)</f>
        <v>10.82042</v>
      </c>
      <c r="W13">
        <f>IF(入力!$B$2="男",頭囲_男!W5,頭囲_女!W5)</f>
        <v>37.728009999999998</v>
      </c>
    </row>
    <row r="14" spans="1:23" x14ac:dyDescent="0.15">
      <c r="A14">
        <v>0</v>
      </c>
      <c r="B14">
        <v>4</v>
      </c>
      <c r="C14">
        <f t="shared" si="0"/>
        <v>0.33333333333333331</v>
      </c>
      <c r="D14">
        <f>IF(頭囲データ!C8="男",頭囲_男!D6,頭囲_女!D6)</f>
        <v>40.6</v>
      </c>
      <c r="E14">
        <f>IF(頭囲データ!D8="男",頭囲_男!E6,頭囲_女!E6)</f>
        <v>1.4</v>
      </c>
      <c r="G14" t="s">
        <v>86</v>
      </c>
      <c r="H14">
        <f>H13+1</f>
        <v>2.5</v>
      </c>
      <c r="I14">
        <f>IF(入力!$B$2="男",頭囲_男!I5,頭囲_女!I5)</f>
        <v>36.5</v>
      </c>
      <c r="J14">
        <f>IF(入力!$B$2="男",頭囲_男!J5,頭囲_女!J5)</f>
        <v>37.200000000000003</v>
      </c>
      <c r="K14">
        <f>IF(入力!$B$2="男",頭囲_男!K5,頭囲_女!K5)</f>
        <v>37.9</v>
      </c>
      <c r="L14">
        <f>IF(入力!$B$2="男",頭囲_男!L5,頭囲_女!L5)</f>
        <v>38.799999999999997</v>
      </c>
      <c r="M14">
        <f>IF(入力!$B$2="男",頭囲_男!M5,頭囲_女!M5)</f>
        <v>39.6</v>
      </c>
      <c r="N14">
        <f>IF(入力!$B$2="男",頭囲_男!N5,頭囲_女!N5)</f>
        <v>40.299999999999997</v>
      </c>
      <c r="O14">
        <f>IF(入力!$B$2="男",頭囲_男!O5,頭囲_女!O5)</f>
        <v>41.1</v>
      </c>
      <c r="R14">
        <v>1</v>
      </c>
      <c r="S14">
        <v>2</v>
      </c>
      <c r="T14">
        <f>IF(入力!$B$2="男",頭囲_男!T6,頭囲_女!T6)</f>
        <v>0.79973359600000005</v>
      </c>
      <c r="U14">
        <f>IF(入力!$B$2="男",頭囲_男!U6,頭囲_女!U6)</f>
        <v>-4.9496362999999999</v>
      </c>
      <c r="V14">
        <f>IF(入力!$B$2="男",頭囲_男!V6,頭囲_女!V6)</f>
        <v>11.5664</v>
      </c>
      <c r="W14">
        <f>IF(入力!$B$2="男",頭囲_男!W6,頭囲_女!W6)</f>
        <v>37.479349999999997</v>
      </c>
    </row>
    <row r="15" spans="1:23" x14ac:dyDescent="0.15">
      <c r="A15">
        <v>0</v>
      </c>
      <c r="B15">
        <v>5</v>
      </c>
      <c r="C15">
        <f t="shared" si="0"/>
        <v>0.41666666666666669</v>
      </c>
      <c r="D15">
        <f>IF(頭囲データ!C9="男",頭囲_男!D7,頭囲_女!D7)</f>
        <v>41.3</v>
      </c>
      <c r="E15">
        <f>IF(頭囲データ!D9="男",頭囲_男!E7,頭囲_女!E7)</f>
        <v>1.4</v>
      </c>
      <c r="G15" t="s">
        <v>87</v>
      </c>
      <c r="H15">
        <f t="shared" ref="H15:H24" si="1">H14+1</f>
        <v>3.5</v>
      </c>
      <c r="I15">
        <f>IF(入力!$B$2="男",頭囲_男!I6,頭囲_女!I6)</f>
        <v>37.799999999999997</v>
      </c>
      <c r="J15">
        <f>IF(入力!$B$2="男",頭囲_男!J6,頭囲_女!J6)</f>
        <v>38.5</v>
      </c>
      <c r="K15">
        <f>IF(入力!$B$2="男",頭囲_男!K6,頭囲_女!K6)</f>
        <v>39.299999999999997</v>
      </c>
      <c r="L15">
        <f>IF(入力!$B$2="男",頭囲_男!L6,頭囲_女!L6)</f>
        <v>40.1</v>
      </c>
      <c r="M15">
        <f>IF(入力!$B$2="男",頭囲_男!M6,頭囲_女!M6)</f>
        <v>40.9</v>
      </c>
      <c r="N15">
        <f>IF(入力!$B$2="男",頭囲_男!N6,頭囲_女!N6)</f>
        <v>41.6</v>
      </c>
      <c r="O15">
        <f>IF(入力!$B$2="男",頭囲_男!O6,頭囲_女!O6)</f>
        <v>42.4</v>
      </c>
      <c r="R15">
        <v>2</v>
      </c>
      <c r="S15">
        <v>4</v>
      </c>
      <c r="T15">
        <f>IF(入力!$B$2="男",頭囲_男!T7,頭囲_女!T7)</f>
        <v>1.1513654E-2</v>
      </c>
      <c r="U15">
        <f>IF(入力!$B$2="男",頭囲_男!U7,頭囲_女!U7)</f>
        <v>-0.2203167</v>
      </c>
      <c r="V15">
        <f>IF(入力!$B$2="男",頭囲_男!V7,頭囲_女!V7)</f>
        <v>2.107758</v>
      </c>
      <c r="W15">
        <f>IF(入力!$B$2="男",頭囲_男!W7,頭囲_女!W7)</f>
        <v>43.785110000000003</v>
      </c>
    </row>
    <row r="16" spans="1:23" x14ac:dyDescent="0.15">
      <c r="A16">
        <v>0</v>
      </c>
      <c r="B16">
        <v>6</v>
      </c>
      <c r="C16">
        <f t="shared" si="0"/>
        <v>0.5</v>
      </c>
      <c r="D16">
        <f>IF(頭囲データ!C10="男",頭囲_男!D8,頭囲_女!D8)</f>
        <v>42.2</v>
      </c>
      <c r="E16">
        <f>IF(頭囲データ!D10="男",頭囲_男!E8,頭囲_女!E8)</f>
        <v>1.3</v>
      </c>
      <c r="G16" t="s">
        <v>88</v>
      </c>
      <c r="H16">
        <f t="shared" si="1"/>
        <v>4.5</v>
      </c>
      <c r="I16">
        <f>IF(入力!$B$2="男",頭囲_男!I7,頭囲_女!I7)</f>
        <v>38.799999999999997</v>
      </c>
      <c r="J16">
        <f>IF(入力!$B$2="男",頭囲_男!J7,頭囲_女!J7)</f>
        <v>39.5</v>
      </c>
      <c r="K16">
        <f>IF(入力!$B$2="男",頭囲_男!K7,頭囲_女!K7)</f>
        <v>40.299999999999997</v>
      </c>
      <c r="L16">
        <f>IF(入力!$B$2="男",頭囲_男!L7,頭囲_女!L7)</f>
        <v>41.1</v>
      </c>
      <c r="M16">
        <f>IF(入力!$B$2="男",頭囲_男!M7,頭囲_女!M7)</f>
        <v>41.9</v>
      </c>
      <c r="N16">
        <f>IF(入力!$B$2="男",頭囲_男!N7,頭囲_女!N7)</f>
        <v>42.6</v>
      </c>
      <c r="O16">
        <f>IF(入力!$B$2="男",頭囲_男!O7,頭囲_女!O7)</f>
        <v>43.4</v>
      </c>
      <c r="R16">
        <v>4</v>
      </c>
      <c r="T16">
        <f>IF(入力!$B$2="男",頭囲_男!T8,頭囲_女!T8)</f>
        <v>-1.249657E-2</v>
      </c>
      <c r="U16">
        <f>IF(入力!$B$2="男",頭囲_男!U8,頭囲_女!U8)</f>
        <v>6.780601E-2</v>
      </c>
      <c r="V16">
        <f>IF(入力!$B$2="男",頭囲_男!V8,頭囲_女!V8)</f>
        <v>0.95526699999999998</v>
      </c>
      <c r="W16">
        <f>IF(入力!$B$2="男",頭囲_男!W8,頭囲_女!W8)</f>
        <v>45.321767000000001</v>
      </c>
    </row>
    <row r="17" spans="1:23" x14ac:dyDescent="0.15">
      <c r="A17">
        <v>0</v>
      </c>
      <c r="B17">
        <v>7</v>
      </c>
      <c r="C17">
        <f t="shared" si="0"/>
        <v>0.58333333333333337</v>
      </c>
      <c r="D17">
        <f>IF(頭囲データ!C11="男",頭囲_男!D9,頭囲_女!D9)</f>
        <v>43.1</v>
      </c>
      <c r="E17">
        <f>IF(頭囲データ!D11="男",頭囲_男!E9,頭囲_女!E9)</f>
        <v>1.7</v>
      </c>
      <c r="G17" t="s">
        <v>89</v>
      </c>
      <c r="H17">
        <f t="shared" si="1"/>
        <v>5.5</v>
      </c>
      <c r="I17">
        <f>IF(入力!$B$2="男",頭囲_男!I8,頭囲_女!I8)</f>
        <v>39.6</v>
      </c>
      <c r="J17">
        <f>IF(入力!$B$2="男",頭囲_男!J8,頭囲_女!J8)</f>
        <v>40.299999999999997</v>
      </c>
      <c r="K17">
        <f>IF(入力!$B$2="男",頭囲_男!K8,頭囲_女!K8)</f>
        <v>41.1</v>
      </c>
      <c r="L17">
        <f>IF(入力!$B$2="男",頭囲_男!L8,頭囲_女!L8)</f>
        <v>41.9</v>
      </c>
      <c r="M17">
        <f>IF(入力!$B$2="男",頭囲_男!M8,頭囲_女!M8)</f>
        <v>42.7</v>
      </c>
      <c r="N17">
        <f>IF(入力!$B$2="男",頭囲_男!N8,頭囲_女!N8)</f>
        <v>43.5</v>
      </c>
      <c r="O17">
        <f>IF(入力!$B$2="男",頭囲_男!O8,頭囲_女!O8)</f>
        <v>44.2</v>
      </c>
      <c r="Q17" t="s">
        <v>111</v>
      </c>
      <c r="R17">
        <v>0</v>
      </c>
      <c r="S17">
        <v>1</v>
      </c>
      <c r="T17">
        <f>IF(入力!$B$2="男",頭囲_男!T9,頭囲_女!T9)</f>
        <v>-1.140595E-2</v>
      </c>
      <c r="U17">
        <f>IF(入力!$B$2="男",頭囲_男!U9,頭囲_女!U9)</f>
        <v>3.3782600000000003E-2</v>
      </c>
      <c r="V17">
        <f>IF(入力!$B$2="男",頭囲_男!V9,頭囲_女!V9)</f>
        <v>-3.2570000000000002E-2</v>
      </c>
      <c r="W17">
        <f>IF(入力!$B$2="男",頭囲_男!W9,頭囲_女!W9)</f>
        <v>3.9349000000000002E-2</v>
      </c>
    </row>
    <row r="18" spans="1:23" x14ac:dyDescent="0.15">
      <c r="A18">
        <v>0</v>
      </c>
      <c r="B18">
        <v>8</v>
      </c>
      <c r="C18">
        <f t="shared" si="0"/>
        <v>0.66666666666666663</v>
      </c>
      <c r="D18">
        <f>IF(頭囲データ!C12="男",頭囲_男!D10,頭囲_女!D10)</f>
        <v>43.5</v>
      </c>
      <c r="E18">
        <f>IF(頭囲データ!D12="男",頭囲_男!E10,頭囲_女!E10)</f>
        <v>1.8</v>
      </c>
      <c r="G18" t="s">
        <v>90</v>
      </c>
      <c r="H18">
        <f t="shared" si="1"/>
        <v>6.5</v>
      </c>
      <c r="I18">
        <f>IF(入力!$B$2="男",頭囲_男!I9,頭囲_女!I9)</f>
        <v>40.299999999999997</v>
      </c>
      <c r="J18">
        <f>IF(入力!$B$2="男",頭囲_男!J9,頭囲_女!J9)</f>
        <v>41</v>
      </c>
      <c r="K18">
        <f>IF(入力!$B$2="男",頭囲_男!K9,頭囲_女!K9)</f>
        <v>41.8</v>
      </c>
      <c r="L18">
        <f>IF(入力!$B$2="男",頭囲_男!L9,頭囲_女!L9)</f>
        <v>42.6</v>
      </c>
      <c r="M18">
        <f>IF(入力!$B$2="男",頭囲_男!M9,頭囲_女!M9)</f>
        <v>43.4</v>
      </c>
      <c r="N18">
        <f>IF(入力!$B$2="男",頭囲_男!N9,頭囲_女!N9)</f>
        <v>44.2</v>
      </c>
      <c r="O18">
        <f>IF(入力!$B$2="男",頭囲_男!O9,頭囲_女!O9)</f>
        <v>44.9</v>
      </c>
      <c r="R18">
        <v>1</v>
      </c>
      <c r="T18">
        <f>IF(入力!$B$2="男",頭囲_男!T10,頭囲_女!T10)</f>
        <v>-2.28119E-2</v>
      </c>
      <c r="U18">
        <f>IF(入力!$B$2="男",頭囲_男!U10,頭囲_女!U10)</f>
        <v>6.7565189999999997E-2</v>
      </c>
      <c r="V18">
        <f>IF(入力!$B$2="男",頭囲_男!V10,頭囲_女!V10)</f>
        <v>-6.515E-2</v>
      </c>
      <c r="W18">
        <f>IF(入力!$B$2="男",頭囲_男!W10,頭囲_女!W10)</f>
        <v>7.8697000000000003E-2</v>
      </c>
    </row>
    <row r="19" spans="1:23" x14ac:dyDescent="0.15">
      <c r="A19">
        <v>0</v>
      </c>
      <c r="B19">
        <v>9</v>
      </c>
      <c r="C19">
        <f t="shared" si="0"/>
        <v>0.75</v>
      </c>
      <c r="D19">
        <f>IF(頭囲データ!C13="男",頭囲_男!D11,頭囲_女!D11)</f>
        <v>43.9</v>
      </c>
      <c r="E19">
        <f>IF(頭囲データ!D13="男",頭囲_男!E11,頭囲_女!E11)</f>
        <v>1.5</v>
      </c>
      <c r="G19" t="s">
        <v>91</v>
      </c>
      <c r="H19">
        <f t="shared" si="1"/>
        <v>7.5</v>
      </c>
      <c r="I19">
        <f>IF(入力!$B$2="男",頭囲_男!I10,頭囲_女!I10)</f>
        <v>40.799999999999997</v>
      </c>
      <c r="J19">
        <f>IF(入力!$B$2="男",頭囲_男!J10,頭囲_女!J10)</f>
        <v>41.5</v>
      </c>
      <c r="K19">
        <f>IF(入力!$B$2="男",頭囲_男!K10,頭囲_女!K10)</f>
        <v>42.3</v>
      </c>
      <c r="L19">
        <f>IF(入力!$B$2="男",頭囲_男!L10,頭囲_女!L10)</f>
        <v>43.1</v>
      </c>
      <c r="M19">
        <f>IF(入力!$B$2="男",頭囲_男!M10,頭囲_女!M10)</f>
        <v>44</v>
      </c>
      <c r="N19">
        <f>IF(入力!$B$2="男",頭囲_男!N10,頭囲_女!N10)</f>
        <v>44.7</v>
      </c>
      <c r="O19">
        <f>IF(入力!$B$2="男",頭囲_男!O10,頭囲_女!O10)</f>
        <v>45.4</v>
      </c>
    </row>
    <row r="20" spans="1:23" x14ac:dyDescent="0.15">
      <c r="A20">
        <v>0</v>
      </c>
      <c r="B20">
        <v>10</v>
      </c>
      <c r="C20">
        <f t="shared" si="0"/>
        <v>0.83333333333333337</v>
      </c>
      <c r="D20">
        <f>IF(頭囲データ!C14="男",頭囲_男!D12,頭囲_女!D12)</f>
        <v>44.4</v>
      </c>
      <c r="E20">
        <f>IF(頭囲データ!D14="男",頭囲_男!E12,頭囲_女!E12)</f>
        <v>1.5</v>
      </c>
      <c r="G20" t="s">
        <v>92</v>
      </c>
      <c r="H20">
        <f t="shared" si="1"/>
        <v>8.5</v>
      </c>
      <c r="I20">
        <f>IF(入力!$B$2="男",頭囲_男!I11,頭囲_女!I11)</f>
        <v>41.3</v>
      </c>
      <c r="J20">
        <f>IF(入力!$B$2="男",頭囲_男!J11,頭囲_女!J11)</f>
        <v>42</v>
      </c>
      <c r="K20">
        <f>IF(入力!$B$2="男",頭囲_男!K11,頭囲_女!K11)</f>
        <v>42.8</v>
      </c>
      <c r="L20">
        <f>IF(入力!$B$2="男",頭囲_男!L11,頭囲_女!L11)</f>
        <v>43.6</v>
      </c>
      <c r="M20">
        <f>IF(入力!$B$2="男",頭囲_男!M11,頭囲_女!M11)</f>
        <v>44.5</v>
      </c>
      <c r="N20">
        <f>IF(入力!$B$2="男",頭囲_男!N11,頭囲_女!N11)</f>
        <v>45.2</v>
      </c>
      <c r="O20">
        <f>IF(入力!$B$2="男",頭囲_男!O11,頭囲_女!O11)</f>
        <v>46</v>
      </c>
    </row>
    <row r="21" spans="1:23" x14ac:dyDescent="0.15">
      <c r="A21">
        <v>0</v>
      </c>
      <c r="B21">
        <v>11</v>
      </c>
      <c r="C21">
        <f t="shared" si="0"/>
        <v>0.91666666666666663</v>
      </c>
      <c r="D21">
        <f>IF(頭囲データ!C15="男",頭囲_男!D13,頭囲_女!D13)</f>
        <v>44.6</v>
      </c>
      <c r="E21">
        <f>IF(頭囲データ!D15="男",頭囲_男!E13,頭囲_女!E13)</f>
        <v>1.6</v>
      </c>
      <c r="G21" t="s">
        <v>93</v>
      </c>
      <c r="H21">
        <f t="shared" si="1"/>
        <v>9.5</v>
      </c>
      <c r="I21">
        <f>IF(入力!$B$2="男",頭囲_男!I12,頭囲_女!I12)</f>
        <v>41.6</v>
      </c>
      <c r="J21">
        <f>IF(入力!$B$2="男",頭囲_男!J12,頭囲_女!J12)</f>
        <v>42.4</v>
      </c>
      <c r="K21">
        <f>IF(入力!$B$2="男",頭囲_男!K12,頭囲_女!K12)</f>
        <v>43.1</v>
      </c>
      <c r="L21">
        <f>IF(入力!$B$2="男",頭囲_男!L12,頭囲_女!L12)</f>
        <v>44</v>
      </c>
      <c r="M21">
        <f>IF(入力!$B$2="男",頭囲_男!M12,頭囲_女!M12)</f>
        <v>44.9</v>
      </c>
      <c r="N21">
        <f>IF(入力!$B$2="男",頭囲_男!N12,頭囲_女!N12)</f>
        <v>45.7</v>
      </c>
      <c r="O21">
        <f>IF(入力!$B$2="男",頭囲_男!O12,頭囲_女!O12)</f>
        <v>46.4</v>
      </c>
    </row>
    <row r="22" spans="1:23" x14ac:dyDescent="0.15">
      <c r="A22">
        <v>1</v>
      </c>
      <c r="B22">
        <v>0</v>
      </c>
      <c r="C22">
        <f t="shared" si="0"/>
        <v>1</v>
      </c>
      <c r="D22">
        <f>IF(頭囲データ!C16="男",頭囲_男!D14,頭囲_女!D14)</f>
        <v>44.9</v>
      </c>
      <c r="E22">
        <f>IF(頭囲データ!D16="男",頭囲_男!E14,頭囲_女!E14)</f>
        <v>1.7</v>
      </c>
      <c r="G22" t="s">
        <v>94</v>
      </c>
      <c r="H22">
        <f t="shared" si="1"/>
        <v>10.5</v>
      </c>
      <c r="I22">
        <f>IF(入力!$B$2="男",頭囲_男!I13,頭囲_女!I13)</f>
        <v>41.9</v>
      </c>
      <c r="J22">
        <f>IF(入力!$B$2="男",頭囲_男!J13,頭囲_女!J13)</f>
        <v>42.7</v>
      </c>
      <c r="K22">
        <f>IF(入力!$B$2="男",頭囲_男!K13,頭囲_女!K13)</f>
        <v>43.5</v>
      </c>
      <c r="L22">
        <f>IF(入力!$B$2="男",頭囲_男!L13,頭囲_女!L13)</f>
        <v>44.4</v>
      </c>
      <c r="M22">
        <f>IF(入力!$B$2="男",頭囲_男!M13,頭囲_女!M13)</f>
        <v>45.3</v>
      </c>
      <c r="N22">
        <f>IF(入力!$B$2="男",頭囲_男!N13,頭囲_女!N13)</f>
        <v>46.1</v>
      </c>
      <c r="O22">
        <f>IF(入力!$B$2="男",頭囲_男!O13,頭囲_女!O13)</f>
        <v>46.9</v>
      </c>
    </row>
    <row r="23" spans="1:23" x14ac:dyDescent="0.15">
      <c r="A23">
        <v>1</v>
      </c>
      <c r="B23">
        <v>1</v>
      </c>
      <c r="C23">
        <f t="shared" si="0"/>
        <v>1.0833333333333333</v>
      </c>
      <c r="D23">
        <f>IF(頭囲データ!C17="男",頭囲_男!D15,頭囲_女!D15)</f>
        <v>45.3</v>
      </c>
      <c r="E23">
        <f>IF(頭囲データ!D17="男",頭囲_男!E15,頭囲_女!E15)</f>
        <v>1.6</v>
      </c>
      <c r="G23" t="s">
        <v>95</v>
      </c>
      <c r="H23">
        <f t="shared" si="1"/>
        <v>11.5</v>
      </c>
      <c r="I23">
        <f>IF(入力!$B$2="男",頭囲_男!I14,頭囲_女!I14)</f>
        <v>42.2</v>
      </c>
      <c r="J23">
        <f>IF(入力!$B$2="男",頭囲_男!J14,頭囲_女!J14)</f>
        <v>43</v>
      </c>
      <c r="K23">
        <f>IF(入力!$B$2="男",頭囲_男!K14,頭囲_女!K14)</f>
        <v>43.8</v>
      </c>
      <c r="L23">
        <f>IF(入力!$B$2="男",頭囲_男!L14,頭囲_女!L14)</f>
        <v>44.7</v>
      </c>
      <c r="M23">
        <f>IF(入力!$B$2="男",頭囲_男!M14,頭囲_女!M14)</f>
        <v>45.6</v>
      </c>
      <c r="N23">
        <f>IF(入力!$B$2="男",頭囲_男!N14,頭囲_女!N14)</f>
        <v>46.5</v>
      </c>
      <c r="O23">
        <f>IF(入力!$B$2="男",頭囲_男!O14,頭囲_女!O14)</f>
        <v>47.3</v>
      </c>
    </row>
    <row r="24" spans="1:23" x14ac:dyDescent="0.15">
      <c r="A24">
        <v>1</v>
      </c>
      <c r="B24">
        <v>2</v>
      </c>
      <c r="C24">
        <f t="shared" si="0"/>
        <v>1.1666666666666667</v>
      </c>
      <c r="D24">
        <f>IF(頭囲データ!C18="男",頭囲_男!D16,頭囲_女!D16)</f>
        <v>45.5</v>
      </c>
      <c r="E24">
        <f>IF(頭囲データ!D18="男",頭囲_男!E16,頭囲_女!E16)</f>
        <v>1.4</v>
      </c>
      <c r="G24" t="s">
        <v>96</v>
      </c>
      <c r="H24">
        <f t="shared" si="1"/>
        <v>12.5</v>
      </c>
      <c r="I24">
        <f>IF(入力!$B$2="男",頭囲_男!I15,頭囲_女!I15)</f>
        <v>42.5</v>
      </c>
      <c r="J24">
        <f>IF(入力!$B$2="男",頭囲_男!J15,頭囲_女!J15)</f>
        <v>43.3</v>
      </c>
      <c r="K24">
        <f>IF(入力!$B$2="男",頭囲_男!K15,頭囲_女!K15)</f>
        <v>44.1</v>
      </c>
      <c r="L24">
        <f>IF(入力!$B$2="男",頭囲_男!L15,頭囲_女!L15)</f>
        <v>45</v>
      </c>
      <c r="M24">
        <f>IF(入力!$B$2="男",頭囲_男!M15,頭囲_女!M15)</f>
        <v>46</v>
      </c>
      <c r="N24">
        <f>IF(入力!$B$2="男",頭囲_男!N15,頭囲_女!N15)</f>
        <v>46.9</v>
      </c>
      <c r="O24">
        <f>IF(入力!$B$2="男",頭囲_男!O15,頭囲_女!O15)</f>
        <v>47.7</v>
      </c>
    </row>
    <row r="25" spans="1:23" x14ac:dyDescent="0.15">
      <c r="A25">
        <v>1</v>
      </c>
      <c r="B25">
        <v>3</v>
      </c>
      <c r="C25">
        <f t="shared" si="0"/>
        <v>1.25</v>
      </c>
      <c r="D25">
        <f>IF(頭囲データ!C19="男",頭囲_男!D17,頭囲_女!D17)</f>
        <v>45.7</v>
      </c>
      <c r="E25">
        <f>IF(頭囲データ!D19="男",頭囲_男!E17,頭囲_女!E17)</f>
        <v>1.5</v>
      </c>
    </row>
    <row r="26" spans="1:23" x14ac:dyDescent="0.15">
      <c r="A26">
        <v>1</v>
      </c>
      <c r="B26">
        <v>4</v>
      </c>
      <c r="C26">
        <f t="shared" si="0"/>
        <v>1.3333333333333333</v>
      </c>
      <c r="D26">
        <f>IF(頭囲データ!C20="男",頭囲_男!D18,頭囲_女!D18)</f>
        <v>46.1</v>
      </c>
      <c r="E26">
        <f>IF(頭囲データ!D20="男",頭囲_男!E18,頭囲_女!E18)</f>
        <v>1.4</v>
      </c>
      <c r="H26" t="s">
        <v>130</v>
      </c>
      <c r="I26" t="s">
        <v>120</v>
      </c>
      <c r="J26" t="s">
        <v>121</v>
      </c>
      <c r="K26" t="s">
        <v>122</v>
      </c>
      <c r="L26" t="s">
        <v>123</v>
      </c>
      <c r="M26" t="s">
        <v>124</v>
      </c>
      <c r="N26" t="s">
        <v>125</v>
      </c>
      <c r="O26" t="s">
        <v>126</v>
      </c>
    </row>
    <row r="27" spans="1:23" x14ac:dyDescent="0.15">
      <c r="A27">
        <v>1</v>
      </c>
      <c r="B27">
        <v>5</v>
      </c>
      <c r="C27">
        <f t="shared" si="0"/>
        <v>1.4166666666666667</v>
      </c>
      <c r="D27">
        <f>IF(頭囲データ!C21="男",頭囲_男!D19,頭囲_女!D19)</f>
        <v>46.3</v>
      </c>
      <c r="E27">
        <f>IF(頭囲データ!D21="男",頭囲_男!E19,頭囲_女!E19)</f>
        <v>1.3</v>
      </c>
      <c r="G27" t="s">
        <v>95</v>
      </c>
      <c r="H27">
        <f>11.5/12</f>
        <v>0.95833333333333337</v>
      </c>
      <c r="I27">
        <f>IF(入力!$B$2="男",頭囲_男!I14,頭囲_女!I14)</f>
        <v>42.2</v>
      </c>
      <c r="J27">
        <f>IF(入力!$B$2="男",頭囲_男!J14,頭囲_女!J14)</f>
        <v>43</v>
      </c>
      <c r="K27">
        <f>IF(入力!$B$2="男",頭囲_男!K14,頭囲_女!K14)</f>
        <v>43.8</v>
      </c>
      <c r="L27">
        <f>IF(入力!$B$2="男",頭囲_男!L14,頭囲_女!L14)</f>
        <v>44.7</v>
      </c>
      <c r="M27">
        <f>IF(入力!$B$2="男",頭囲_男!M14,頭囲_女!M14)</f>
        <v>45.6</v>
      </c>
      <c r="N27">
        <f>IF(入力!$B$2="男",頭囲_男!N14,頭囲_女!N14)</f>
        <v>46.5</v>
      </c>
      <c r="O27">
        <f>IF(入力!$B$2="男",頭囲_男!O14,頭囲_女!O14)</f>
        <v>47.3</v>
      </c>
    </row>
    <row r="28" spans="1:23" x14ac:dyDescent="0.15">
      <c r="A28">
        <v>1</v>
      </c>
      <c r="B28">
        <v>6</v>
      </c>
      <c r="C28">
        <f t="shared" si="0"/>
        <v>1.5</v>
      </c>
      <c r="D28">
        <f>IF(頭囲データ!C22="男",頭囲_男!D20,頭囲_女!D20)</f>
        <v>46.5</v>
      </c>
      <c r="E28">
        <f>IF(頭囲データ!D22="男",頭囲_男!E20,頭囲_女!E20)</f>
        <v>1.5</v>
      </c>
      <c r="G28" t="s">
        <v>96</v>
      </c>
      <c r="H28">
        <f t="shared" ref="H28:H39" si="2">H27+1/12</f>
        <v>1.0416666666666667</v>
      </c>
      <c r="I28">
        <f>IF(入力!$B$2="男",頭囲_男!I15,頭囲_女!I15)</f>
        <v>42.5</v>
      </c>
      <c r="J28">
        <f>IF(入力!$B$2="男",頭囲_男!J15,頭囲_女!J15)</f>
        <v>43.3</v>
      </c>
      <c r="K28">
        <f>IF(入力!$B$2="男",頭囲_男!K15,頭囲_女!K15)</f>
        <v>44.1</v>
      </c>
      <c r="L28">
        <f>IF(入力!$B$2="男",頭囲_男!L15,頭囲_女!L15)</f>
        <v>45</v>
      </c>
      <c r="M28">
        <f>IF(入力!$B$2="男",頭囲_男!M15,頭囲_女!M15)</f>
        <v>46</v>
      </c>
      <c r="N28">
        <f>IF(入力!$B$2="男",頭囲_男!N15,頭囲_女!N15)</f>
        <v>46.9</v>
      </c>
      <c r="O28">
        <f>IF(入力!$B$2="男",頭囲_男!O15,頭囲_女!O15)</f>
        <v>47.7</v>
      </c>
    </row>
    <row r="29" spans="1:23" x14ac:dyDescent="0.15">
      <c r="A29">
        <v>1</v>
      </c>
      <c r="B29">
        <v>7</v>
      </c>
      <c r="C29">
        <f t="shared" si="0"/>
        <v>1.5833333333333335</v>
      </c>
      <c r="D29">
        <f>IF(頭囲データ!C23="男",頭囲_男!D21,頭囲_女!D21)</f>
        <v>46.7</v>
      </c>
      <c r="E29">
        <f>IF(頭囲データ!D23="男",頭囲_男!E21,頭囲_女!E21)</f>
        <v>1.5</v>
      </c>
      <c r="G29" t="s">
        <v>97</v>
      </c>
      <c r="H29">
        <f t="shared" si="2"/>
        <v>1.125</v>
      </c>
      <c r="I29">
        <f>IF(入力!$B$2="男",頭囲_男!I16,頭囲_女!I16)</f>
        <v>42.8</v>
      </c>
      <c r="J29">
        <f>IF(入力!$B$2="男",頭囲_男!J16,頭囲_女!J16)</f>
        <v>43.6</v>
      </c>
      <c r="K29">
        <f>IF(入力!$B$2="男",頭囲_男!K16,頭囲_女!K16)</f>
        <v>44.5</v>
      </c>
      <c r="L29">
        <f>IF(入力!$B$2="男",頭囲_男!L16,頭囲_女!L16)</f>
        <v>45.4</v>
      </c>
      <c r="M29">
        <f>IF(入力!$B$2="男",頭囲_男!M16,頭囲_女!M16)</f>
        <v>46.4</v>
      </c>
      <c r="N29">
        <f>IF(入力!$B$2="男",頭囲_男!N16,頭囲_女!N16)</f>
        <v>47.2</v>
      </c>
      <c r="O29">
        <f>IF(入力!$B$2="男",頭囲_男!O16,頭囲_女!O16)</f>
        <v>48.1</v>
      </c>
    </row>
    <row r="30" spans="1:23" x14ac:dyDescent="0.15">
      <c r="A30">
        <v>1</v>
      </c>
      <c r="B30">
        <v>8</v>
      </c>
      <c r="C30">
        <f t="shared" si="0"/>
        <v>1.6666666666666665</v>
      </c>
      <c r="D30">
        <f>IF(頭囲データ!C24="男",頭囲_男!D22,頭囲_女!D22)</f>
        <v>46.7</v>
      </c>
      <c r="E30">
        <f>IF(頭囲データ!D24="男",頭囲_男!E22,頭囲_女!E22)</f>
        <v>1.5</v>
      </c>
      <c r="G30" t="s">
        <v>86</v>
      </c>
      <c r="H30">
        <f t="shared" si="2"/>
        <v>1.2083333333333333</v>
      </c>
      <c r="I30">
        <f>IF(入力!$B$2="男",頭囲_男!I17,頭囲_女!I17)</f>
        <v>43.1</v>
      </c>
      <c r="J30">
        <f>IF(入力!$B$2="男",頭囲_男!J17,頭囲_女!J17)</f>
        <v>43.9</v>
      </c>
      <c r="K30">
        <f>IF(入力!$B$2="男",頭囲_男!K17,頭囲_女!K17)</f>
        <v>44.7</v>
      </c>
      <c r="L30">
        <f>IF(入力!$B$2="男",頭囲_男!L17,頭囲_女!L17)</f>
        <v>45.7</v>
      </c>
      <c r="M30">
        <f>IF(入力!$B$2="男",頭囲_男!M17,頭囲_女!M17)</f>
        <v>46.6</v>
      </c>
      <c r="N30">
        <f>IF(入力!$B$2="男",頭囲_男!N17,頭囲_女!N17)</f>
        <v>47.5</v>
      </c>
      <c r="O30">
        <f>IF(入力!$B$2="男",頭囲_男!O17,頭囲_女!O17)</f>
        <v>48.4</v>
      </c>
    </row>
    <row r="31" spans="1:23" x14ac:dyDescent="0.15">
      <c r="A31">
        <v>1</v>
      </c>
      <c r="B31">
        <v>9</v>
      </c>
      <c r="C31">
        <f t="shared" si="0"/>
        <v>1.75</v>
      </c>
      <c r="D31">
        <f>IF(頭囲データ!C25="男",頭囲_男!D23,頭囲_女!D23)</f>
        <v>46.9</v>
      </c>
      <c r="E31">
        <f>IF(頭囲データ!D25="男",頭囲_男!E23,頭囲_女!E23)</f>
        <v>1.5</v>
      </c>
      <c r="G31" t="s">
        <v>87</v>
      </c>
      <c r="H31">
        <f t="shared" si="2"/>
        <v>1.2916666666666665</v>
      </c>
      <c r="I31">
        <f>IF(入力!$B$2="男",頭囲_男!I18,頭囲_女!I18)</f>
        <v>43.3</v>
      </c>
      <c r="J31">
        <f>IF(入力!$B$2="男",頭囲_男!J18,頭囲_女!J18)</f>
        <v>44.1</v>
      </c>
      <c r="K31">
        <f>IF(入力!$B$2="男",頭囲_男!K18,頭囲_女!K18)</f>
        <v>44.9</v>
      </c>
      <c r="L31">
        <f>IF(入力!$B$2="男",頭囲_男!L18,頭囲_女!L18)</f>
        <v>45.9</v>
      </c>
      <c r="M31">
        <f>IF(入力!$B$2="男",頭囲_男!M18,頭囲_女!M18)</f>
        <v>46.9</v>
      </c>
      <c r="N31">
        <f>IF(入力!$B$2="男",頭囲_男!N18,頭囲_女!N18)</f>
        <v>47.8</v>
      </c>
      <c r="O31">
        <f>IF(入力!$B$2="男",頭囲_男!O18,頭囲_女!O18)</f>
        <v>48.6</v>
      </c>
    </row>
    <row r="32" spans="1:23" x14ac:dyDescent="0.15">
      <c r="A32">
        <v>1</v>
      </c>
      <c r="B32">
        <v>10</v>
      </c>
      <c r="C32">
        <f t="shared" si="0"/>
        <v>1.8333333333333335</v>
      </c>
      <c r="D32">
        <f>IF(頭囲データ!C26="男",頭囲_男!D24,頭囲_女!D24)</f>
        <v>47</v>
      </c>
      <c r="E32">
        <f>IF(頭囲データ!D26="男",頭囲_男!E24,頭囲_女!E24)</f>
        <v>1.4</v>
      </c>
      <c r="G32" t="s">
        <v>88</v>
      </c>
      <c r="H32">
        <f t="shared" si="2"/>
        <v>1.3749999999999998</v>
      </c>
      <c r="I32">
        <f>IF(入力!$B$2="男",頭囲_男!I19,頭囲_女!I19)</f>
        <v>43.5</v>
      </c>
      <c r="J32">
        <f>IF(入力!$B$2="男",頭囲_男!J19,頭囲_女!J19)</f>
        <v>44.3</v>
      </c>
      <c r="K32">
        <f>IF(入力!$B$2="男",頭囲_男!K19,頭囲_女!K19)</f>
        <v>45.2</v>
      </c>
      <c r="L32">
        <f>IF(入力!$B$2="男",頭囲_男!L19,頭囲_女!L19)</f>
        <v>46.2</v>
      </c>
      <c r="M32">
        <f>IF(入力!$B$2="男",頭囲_男!M19,頭囲_女!M19)</f>
        <v>47.1</v>
      </c>
      <c r="N32">
        <f>IF(入力!$B$2="男",頭囲_男!N19,頭囲_女!N19)</f>
        <v>48</v>
      </c>
      <c r="O32">
        <f>IF(入力!$B$2="男",頭囲_男!O19,頭囲_女!O19)</f>
        <v>48.9</v>
      </c>
    </row>
    <row r="33" spans="1:15" x14ac:dyDescent="0.15">
      <c r="A33">
        <v>1</v>
      </c>
      <c r="B33">
        <v>11</v>
      </c>
      <c r="C33">
        <f t="shared" si="0"/>
        <v>1.9166666666666665</v>
      </c>
      <c r="D33">
        <f>IF(頭囲データ!C27="男",頭囲_男!D25,頭囲_女!D25)</f>
        <v>47.2</v>
      </c>
      <c r="E33">
        <f>IF(頭囲データ!D27="男",頭囲_男!E25,頭囲_女!E25)</f>
        <v>1.5</v>
      </c>
      <c r="G33" t="s">
        <v>89</v>
      </c>
      <c r="H33">
        <f t="shared" si="2"/>
        <v>1.458333333333333</v>
      </c>
      <c r="I33">
        <f>IF(入力!$B$2="男",頭囲_男!I20,頭囲_女!I20)</f>
        <v>43.6</v>
      </c>
      <c r="J33">
        <f>IF(入力!$B$2="男",頭囲_男!J20,頭囲_女!J20)</f>
        <v>44.5</v>
      </c>
      <c r="K33">
        <f>IF(入力!$B$2="男",頭囲_男!K20,頭囲_女!K20)</f>
        <v>45.4</v>
      </c>
      <c r="L33">
        <f>IF(入力!$B$2="男",頭囲_男!L20,頭囲_女!L20)</f>
        <v>46.4</v>
      </c>
      <c r="M33">
        <f>IF(入力!$B$2="男",頭囲_男!M20,頭囲_女!M20)</f>
        <v>47.3</v>
      </c>
      <c r="N33">
        <f>IF(入力!$B$2="男",頭囲_男!N20,頭囲_女!N20)</f>
        <v>48.2</v>
      </c>
      <c r="O33">
        <f>IF(入力!$B$2="男",頭囲_男!O20,頭囲_女!O20)</f>
        <v>49.1</v>
      </c>
    </row>
    <row r="34" spans="1:15" x14ac:dyDescent="0.15">
      <c r="A34">
        <v>2</v>
      </c>
      <c r="B34">
        <v>0</v>
      </c>
      <c r="C34">
        <f t="shared" si="0"/>
        <v>2</v>
      </c>
      <c r="D34">
        <f>IF(頭囲データ!C28="男",頭囲_男!D26,頭囲_女!D26)</f>
        <v>47.3</v>
      </c>
      <c r="E34">
        <f>IF(頭囲データ!D28="男",頭囲_男!E26,頭囲_女!E26)</f>
        <v>1.4</v>
      </c>
      <c r="G34" t="s">
        <v>90</v>
      </c>
      <c r="H34">
        <f t="shared" si="2"/>
        <v>1.5416666666666663</v>
      </c>
      <c r="I34">
        <f>IF(入力!$B$2="男",頭囲_男!I21,頭囲_女!I21)</f>
        <v>43.8</v>
      </c>
      <c r="J34">
        <f>IF(入力!$B$2="男",頭囲_男!J21,頭囲_女!J21)</f>
        <v>44.7</v>
      </c>
      <c r="K34">
        <f>IF(入力!$B$2="男",頭囲_男!K21,頭囲_女!K21)</f>
        <v>45.6</v>
      </c>
      <c r="L34">
        <f>IF(入力!$B$2="男",頭囲_男!L21,頭囲_女!L21)</f>
        <v>46.5</v>
      </c>
      <c r="M34">
        <f>IF(入力!$B$2="男",頭囲_男!M21,頭囲_女!M21)</f>
        <v>47.5</v>
      </c>
      <c r="N34">
        <f>IF(入力!$B$2="男",頭囲_男!N21,頭囲_女!N21)</f>
        <v>48.4</v>
      </c>
      <c r="O34">
        <f>IF(入力!$B$2="男",頭囲_男!O21,頭囲_女!O21)</f>
        <v>49.3</v>
      </c>
    </row>
    <row r="35" spans="1:15" x14ac:dyDescent="0.15">
      <c r="A35">
        <v>2</v>
      </c>
      <c r="B35">
        <v>1</v>
      </c>
      <c r="C35">
        <f t="shared" si="0"/>
        <v>2.0833333333333335</v>
      </c>
      <c r="D35">
        <f>IF(頭囲データ!C29="男",頭囲_男!D27,頭囲_女!D27)</f>
        <v>47.4</v>
      </c>
      <c r="E35">
        <f>IF(頭囲データ!D29="男",頭囲_男!E27,頭囲_女!E27)</f>
        <v>1.5</v>
      </c>
      <c r="G35" t="s">
        <v>91</v>
      </c>
      <c r="H35">
        <f t="shared" si="2"/>
        <v>1.6249999999999996</v>
      </c>
      <c r="I35">
        <f>IF(入力!$B$2="男",頭囲_男!I22,頭囲_女!I22)</f>
        <v>43.9</v>
      </c>
      <c r="J35">
        <f>IF(入力!$B$2="男",頭囲_男!J22,頭囲_女!J22)</f>
        <v>44.8</v>
      </c>
      <c r="K35">
        <f>IF(入力!$B$2="男",頭囲_男!K22,頭囲_女!K22)</f>
        <v>45.7</v>
      </c>
      <c r="L35">
        <f>IF(入力!$B$2="男",頭囲_男!L22,頭囲_女!L22)</f>
        <v>46.7</v>
      </c>
      <c r="M35">
        <f>IF(入力!$B$2="男",頭囲_男!M22,頭囲_女!M22)</f>
        <v>47.7</v>
      </c>
      <c r="N35">
        <f>IF(入力!$B$2="男",頭囲_男!N22,頭囲_女!N22)</f>
        <v>48.6</v>
      </c>
      <c r="O35">
        <f>IF(入力!$B$2="男",頭囲_男!O22,頭囲_女!O22)</f>
        <v>49.4</v>
      </c>
    </row>
    <row r="36" spans="1:15" x14ac:dyDescent="0.15">
      <c r="A36">
        <v>2</v>
      </c>
      <c r="B36">
        <v>2</v>
      </c>
      <c r="C36">
        <f t="shared" si="0"/>
        <v>2.1666666666666665</v>
      </c>
      <c r="D36">
        <f>IF(頭囲データ!C30="男",頭囲_男!D28,頭囲_女!D28)</f>
        <v>47.5</v>
      </c>
      <c r="E36">
        <f>IF(頭囲データ!D30="男",頭囲_男!E28,頭囲_女!E28)</f>
        <v>1.6</v>
      </c>
      <c r="G36" t="s">
        <v>92</v>
      </c>
      <c r="H36">
        <f t="shared" si="2"/>
        <v>1.7083333333333328</v>
      </c>
      <c r="I36">
        <f>IF(入力!$B$2="男",頭囲_男!I23,頭囲_女!I23)</f>
        <v>44.1</v>
      </c>
      <c r="J36">
        <f>IF(入力!$B$2="男",頭囲_男!J23,頭囲_女!J23)</f>
        <v>45</v>
      </c>
      <c r="K36">
        <f>IF(入力!$B$2="男",頭囲_男!K23,頭囲_女!K23)</f>
        <v>45.9</v>
      </c>
      <c r="L36">
        <f>IF(入力!$B$2="男",頭囲_男!L23,頭囲_女!L23)</f>
        <v>46.8</v>
      </c>
      <c r="M36">
        <f>IF(入力!$B$2="男",頭囲_男!M23,頭囲_女!M23)</f>
        <v>47.8</v>
      </c>
      <c r="N36">
        <f>IF(入力!$B$2="男",頭囲_男!N23,頭囲_女!N23)</f>
        <v>48.7</v>
      </c>
      <c r="O36">
        <f>IF(入力!$B$2="男",頭囲_男!O23,頭囲_女!O23)</f>
        <v>49.6</v>
      </c>
    </row>
    <row r="37" spans="1:15" x14ac:dyDescent="0.15">
      <c r="A37">
        <v>2</v>
      </c>
      <c r="B37">
        <v>3</v>
      </c>
      <c r="C37">
        <f t="shared" si="0"/>
        <v>2.25</v>
      </c>
      <c r="D37">
        <f>IF(頭囲データ!C31="男",頭囲_男!D29,頭囲_女!D29)</f>
        <v>47.6</v>
      </c>
      <c r="E37">
        <f>IF(頭囲データ!D31="男",頭囲_男!E29,頭囲_女!E29)</f>
        <v>1.7</v>
      </c>
      <c r="G37" t="s">
        <v>93</v>
      </c>
      <c r="H37">
        <f t="shared" si="2"/>
        <v>1.7916666666666661</v>
      </c>
      <c r="I37">
        <f>IF(入力!$B$2="男",頭囲_男!I24,頭囲_女!I24)</f>
        <v>44.3</v>
      </c>
      <c r="J37">
        <f>IF(入力!$B$2="男",頭囲_男!J24,頭囲_女!J24)</f>
        <v>45.1</v>
      </c>
      <c r="K37">
        <f>IF(入力!$B$2="男",頭囲_男!K24,頭囲_女!K24)</f>
        <v>46</v>
      </c>
      <c r="L37">
        <f>IF(入力!$B$2="男",頭囲_男!L24,頭囲_女!L24)</f>
        <v>47</v>
      </c>
      <c r="M37">
        <f>IF(入力!$B$2="男",頭囲_男!M24,頭囲_女!M24)</f>
        <v>48</v>
      </c>
      <c r="N37">
        <f>IF(入力!$B$2="男",頭囲_男!N24,頭囲_女!N24)</f>
        <v>48.8</v>
      </c>
      <c r="O37">
        <f>IF(入力!$B$2="男",頭囲_男!O24,頭囲_女!O24)</f>
        <v>49.7</v>
      </c>
    </row>
    <row r="38" spans="1:15" x14ac:dyDescent="0.15">
      <c r="A38">
        <v>2</v>
      </c>
      <c r="B38">
        <v>4</v>
      </c>
      <c r="C38">
        <f t="shared" si="0"/>
        <v>2.3333333333333335</v>
      </c>
      <c r="D38">
        <f>IF(頭囲データ!C32="男",頭囲_男!D30,頭囲_女!D30)</f>
        <v>47.7</v>
      </c>
      <c r="E38">
        <f>IF(頭囲データ!D32="男",頭囲_男!E30,頭囲_女!E30)</f>
        <v>1.7</v>
      </c>
      <c r="G38" t="s">
        <v>94</v>
      </c>
      <c r="H38">
        <f t="shared" si="2"/>
        <v>1.8749999999999993</v>
      </c>
      <c r="I38">
        <f>IF(入力!$B$2="男",頭囲_男!I25,頭囲_女!I25)</f>
        <v>44.4</v>
      </c>
      <c r="J38">
        <f>IF(入力!$B$2="男",頭囲_男!J25,頭囲_女!J25)</f>
        <v>45.3</v>
      </c>
      <c r="K38">
        <f>IF(入力!$B$2="男",頭囲_男!K25,頭囲_女!K25)</f>
        <v>46.1</v>
      </c>
      <c r="L38">
        <f>IF(入力!$B$2="男",頭囲_男!L25,頭囲_女!L25)</f>
        <v>47.1</v>
      </c>
      <c r="M38">
        <f>IF(入力!$B$2="男",頭囲_男!M25,頭囲_女!M25)</f>
        <v>48.1</v>
      </c>
      <c r="N38">
        <f>IF(入力!$B$2="男",頭囲_男!N25,頭囲_女!N25)</f>
        <v>49</v>
      </c>
      <c r="O38">
        <f>IF(入力!$B$2="男",頭囲_男!O25,頭囲_女!O25)</f>
        <v>49.9</v>
      </c>
    </row>
    <row r="39" spans="1:15" x14ac:dyDescent="0.15">
      <c r="A39">
        <v>2</v>
      </c>
      <c r="B39">
        <v>5</v>
      </c>
      <c r="C39">
        <f t="shared" si="0"/>
        <v>2.4166666666666665</v>
      </c>
      <c r="D39">
        <f>IF(頭囲データ!C33="男",頭囲_男!D31,頭囲_女!D31)</f>
        <v>47.8</v>
      </c>
      <c r="E39">
        <f>IF(頭囲データ!D33="男",頭囲_男!E31,頭囲_女!E31)</f>
        <v>1.6</v>
      </c>
      <c r="G39" t="s">
        <v>95</v>
      </c>
      <c r="H39">
        <f t="shared" si="2"/>
        <v>1.9583333333333326</v>
      </c>
      <c r="I39">
        <f>IF(入力!$B$2="男",頭囲_男!I26,頭囲_女!I26)</f>
        <v>44.5</v>
      </c>
      <c r="J39">
        <f>IF(入力!$B$2="男",頭囲_男!J26,頭囲_女!J26)</f>
        <v>45.4</v>
      </c>
      <c r="K39">
        <f>IF(入力!$B$2="男",頭囲_男!K26,頭囲_女!K26)</f>
        <v>46.2</v>
      </c>
      <c r="L39">
        <f>IF(入力!$B$2="男",頭囲_男!L26,頭囲_女!L26)</f>
        <v>47.2</v>
      </c>
      <c r="M39">
        <f>IF(入力!$B$2="男",頭囲_男!M26,頭囲_女!M26)</f>
        <v>48.2</v>
      </c>
      <c r="N39">
        <f>IF(入力!$B$2="男",頭囲_男!N26,頭囲_女!N26)</f>
        <v>49.1</v>
      </c>
      <c r="O39">
        <f>IF(入力!$B$2="男",頭囲_男!O26,頭囲_女!O26)</f>
        <v>50</v>
      </c>
    </row>
    <row r="40" spans="1:15" x14ac:dyDescent="0.15">
      <c r="A40">
        <v>2</v>
      </c>
      <c r="B40">
        <v>6</v>
      </c>
      <c r="C40">
        <f t="shared" si="0"/>
        <v>2.5</v>
      </c>
      <c r="D40">
        <f>IF(頭囲データ!C34="男",頭囲_男!D32,頭囲_女!D32)</f>
        <v>47.9</v>
      </c>
      <c r="E40">
        <f>IF(頭囲データ!D34="男",頭囲_男!E32,頭囲_女!E32)</f>
        <v>1.6</v>
      </c>
      <c r="G40" t="s">
        <v>98</v>
      </c>
      <c r="H40">
        <f>2+3/12</f>
        <v>2.25</v>
      </c>
      <c r="I40">
        <f>IF(入力!$B$2="男",頭囲_男!I27,頭囲_女!I27)</f>
        <v>45</v>
      </c>
      <c r="J40">
        <f>IF(入力!$B$2="男",頭囲_男!J27,頭囲_女!J27)</f>
        <v>45.8</v>
      </c>
      <c r="K40">
        <f>IF(入力!$B$2="男",頭囲_男!K27,頭囲_女!K27)</f>
        <v>46.6</v>
      </c>
      <c r="L40">
        <f>IF(入力!$B$2="男",頭囲_男!L27,頭囲_女!L27)</f>
        <v>47.5</v>
      </c>
      <c r="M40">
        <f>IF(入力!$B$2="男",頭囲_男!M27,頭囲_女!M27)</f>
        <v>48.6</v>
      </c>
      <c r="N40">
        <f>IF(入力!$B$2="男",頭囲_男!N27,頭囲_女!N27)</f>
        <v>49.5</v>
      </c>
      <c r="O40">
        <f>IF(入力!$B$2="男",頭囲_男!O27,頭囲_女!O27)</f>
        <v>50.3</v>
      </c>
    </row>
    <row r="41" spans="1:15" x14ac:dyDescent="0.15">
      <c r="A41">
        <v>2</v>
      </c>
      <c r="B41">
        <v>7</v>
      </c>
      <c r="C41">
        <f t="shared" si="0"/>
        <v>2.5833333333333335</v>
      </c>
      <c r="D41">
        <f>IF(頭囲データ!C35="男",頭囲_男!D33,頭囲_女!D33)</f>
        <v>47.9</v>
      </c>
      <c r="E41">
        <f>IF(頭囲データ!D35="男",頭囲_男!E33,頭囲_女!E33)</f>
        <v>1.5</v>
      </c>
      <c r="G41" t="s">
        <v>99</v>
      </c>
      <c r="H41">
        <f t="shared" ref="H41:H48" si="3">H40+0.5</f>
        <v>2.75</v>
      </c>
      <c r="I41">
        <f>IF(入力!$B$2="男",頭囲_男!I28,頭囲_女!I28)</f>
        <v>45.6</v>
      </c>
      <c r="J41">
        <f>IF(入力!$B$2="男",頭囲_男!J28,頭囲_女!J28)</f>
        <v>46.4</v>
      </c>
      <c r="K41">
        <f>IF(入力!$B$2="男",頭囲_男!K28,頭囲_女!K28)</f>
        <v>47.2</v>
      </c>
      <c r="L41">
        <f>IF(入力!$B$2="男",頭囲_男!L28,頭囲_女!L28)</f>
        <v>48.1</v>
      </c>
      <c r="M41">
        <f>IF(入力!$B$2="男",頭囲_男!M28,頭囲_女!M28)</f>
        <v>49.1</v>
      </c>
      <c r="N41">
        <f>IF(入力!$B$2="男",頭囲_男!N28,頭囲_女!N28)</f>
        <v>50</v>
      </c>
      <c r="O41">
        <f>IF(入力!$B$2="男",頭囲_男!O28,頭囲_女!O28)</f>
        <v>50.9</v>
      </c>
    </row>
    <row r="42" spans="1:15" x14ac:dyDescent="0.15">
      <c r="A42">
        <v>2</v>
      </c>
      <c r="B42">
        <v>8</v>
      </c>
      <c r="C42">
        <f t="shared" si="0"/>
        <v>2.6666666666666665</v>
      </c>
      <c r="D42">
        <f>IF(頭囲データ!C36="男",頭囲_男!D34,頭囲_女!D34)</f>
        <v>48</v>
      </c>
      <c r="E42">
        <f>IF(頭囲データ!D36="男",頭囲_男!E34,頭囲_女!E34)</f>
        <v>1.5</v>
      </c>
      <c r="G42" t="s">
        <v>100</v>
      </c>
      <c r="H42">
        <f t="shared" si="3"/>
        <v>3.25</v>
      </c>
      <c r="I42">
        <f>IF(入力!$B$2="男",頭囲_男!I29,頭囲_女!I29)</f>
        <v>46.1</v>
      </c>
      <c r="J42">
        <f>IF(入力!$B$2="男",頭囲_男!J29,頭囲_女!J29)</f>
        <v>46.9</v>
      </c>
      <c r="K42">
        <f>IF(入力!$B$2="男",頭囲_男!K29,頭囲_女!K29)</f>
        <v>47.8</v>
      </c>
      <c r="L42">
        <f>IF(入力!$B$2="男",頭囲_男!L29,頭囲_女!L29)</f>
        <v>48.6</v>
      </c>
      <c r="M42">
        <f>IF(入力!$B$2="男",頭囲_男!M29,頭囲_女!M29)</f>
        <v>49.7</v>
      </c>
      <c r="N42">
        <f>IF(入力!$B$2="男",頭囲_男!N29,頭囲_女!N29)</f>
        <v>50.6</v>
      </c>
      <c r="O42">
        <f>IF(入力!$B$2="男",頭囲_男!O29,頭囲_女!O29)</f>
        <v>51.5</v>
      </c>
    </row>
    <row r="43" spans="1:15" x14ac:dyDescent="0.15">
      <c r="A43">
        <v>2</v>
      </c>
      <c r="B43">
        <v>9</v>
      </c>
      <c r="C43">
        <f t="shared" si="0"/>
        <v>2.75</v>
      </c>
      <c r="D43">
        <f>IF(頭囲データ!C37="男",頭囲_男!D35,頭囲_女!D35)</f>
        <v>48.1</v>
      </c>
      <c r="E43">
        <f>IF(頭囲データ!D37="男",頭囲_男!E35,頭囲_女!E35)</f>
        <v>1.4</v>
      </c>
      <c r="G43" t="s">
        <v>99</v>
      </c>
      <c r="H43">
        <f t="shared" si="3"/>
        <v>3.75</v>
      </c>
      <c r="I43">
        <f>IF(入力!$B$2="男",頭囲_男!I30,頭囲_女!I30)</f>
        <v>46.6</v>
      </c>
      <c r="J43">
        <f>IF(入力!$B$2="男",頭囲_男!J30,頭囲_女!J30)</f>
        <v>47.4</v>
      </c>
      <c r="K43">
        <f>IF(入力!$B$2="男",頭囲_男!K30,頭囲_女!K30)</f>
        <v>48.2</v>
      </c>
      <c r="L43">
        <f>IF(入力!$B$2="男",頭囲_男!L30,頭囲_女!L30)</f>
        <v>49.1</v>
      </c>
      <c r="M43">
        <f>IF(入力!$B$2="男",頭囲_男!M30,頭囲_女!M30)</f>
        <v>50.2</v>
      </c>
      <c r="N43">
        <f>IF(入力!$B$2="男",頭囲_男!N30,頭囲_女!N30)</f>
        <v>51.1</v>
      </c>
      <c r="O43">
        <f>IF(入力!$B$2="男",頭囲_男!O30,頭囲_女!O30)</f>
        <v>52</v>
      </c>
    </row>
    <row r="44" spans="1:15" x14ac:dyDescent="0.15">
      <c r="A44">
        <v>2</v>
      </c>
      <c r="B44">
        <v>10</v>
      </c>
      <c r="C44">
        <f t="shared" si="0"/>
        <v>2.8333333333333335</v>
      </c>
      <c r="D44">
        <f>IF(頭囲データ!C38="男",頭囲_男!D36,頭囲_女!D36)</f>
        <v>48.2</v>
      </c>
      <c r="E44">
        <f>IF(頭囲データ!D38="男",頭囲_男!E36,頭囲_女!E36)</f>
        <v>1.5</v>
      </c>
      <c r="G44" t="s">
        <v>101</v>
      </c>
      <c r="H44">
        <f t="shared" si="3"/>
        <v>4.25</v>
      </c>
      <c r="I44">
        <f>IF(入力!$B$2="男",頭囲_男!I31,頭囲_女!I31)</f>
        <v>47</v>
      </c>
      <c r="J44">
        <f>IF(入力!$B$2="男",頭囲_男!J31,頭囲_女!J31)</f>
        <v>47.8</v>
      </c>
      <c r="K44">
        <f>IF(入力!$B$2="男",頭囲_男!K31,頭囲_女!K31)</f>
        <v>48.6</v>
      </c>
      <c r="L44">
        <f>IF(入力!$B$2="男",頭囲_男!L31,頭囲_女!L31)</f>
        <v>49.6</v>
      </c>
      <c r="M44">
        <f>IF(入力!$B$2="男",頭囲_男!M31,頭囲_女!M31)</f>
        <v>50.6</v>
      </c>
      <c r="N44">
        <f>IF(入力!$B$2="男",頭囲_男!N31,頭囲_女!N31)</f>
        <v>51.6</v>
      </c>
      <c r="O44">
        <f>IF(入力!$B$2="男",頭囲_男!O31,頭囲_女!O31)</f>
        <v>52.5</v>
      </c>
    </row>
    <row r="45" spans="1:15" x14ac:dyDescent="0.15">
      <c r="A45">
        <v>2</v>
      </c>
      <c r="B45">
        <v>11</v>
      </c>
      <c r="C45">
        <f t="shared" si="0"/>
        <v>2.9166666666666665</v>
      </c>
      <c r="D45">
        <f>IF(頭囲データ!C39="男",頭囲_男!D37,頭囲_女!D37)</f>
        <v>48.3</v>
      </c>
      <c r="E45">
        <f>IF(頭囲データ!D39="男",頭囲_男!E37,頭囲_女!E37)</f>
        <v>1.5</v>
      </c>
      <c r="G45" t="s">
        <v>99</v>
      </c>
      <c r="H45">
        <f t="shared" si="3"/>
        <v>4.75</v>
      </c>
      <c r="I45">
        <f>IF(入力!$B$2="男",頭囲_男!I32,頭囲_女!I32)</f>
        <v>47.3</v>
      </c>
      <c r="J45">
        <f>IF(入力!$B$2="男",頭囲_男!J32,頭囲_女!J32)</f>
        <v>48.2</v>
      </c>
      <c r="K45">
        <f>IF(入力!$B$2="男",頭囲_男!K32,頭囲_女!K32)</f>
        <v>49</v>
      </c>
      <c r="L45">
        <f>IF(入力!$B$2="男",頭囲_男!L32,頭囲_女!L32)</f>
        <v>49.9</v>
      </c>
      <c r="M45">
        <f>IF(入力!$B$2="男",頭囲_男!M32,頭囲_女!M32)</f>
        <v>51</v>
      </c>
      <c r="N45">
        <f>IF(入力!$B$2="男",頭囲_男!N32,頭囲_女!N32)</f>
        <v>52</v>
      </c>
      <c r="O45">
        <f>IF(入力!$B$2="男",頭囲_男!O32,頭囲_女!O32)</f>
        <v>52.9</v>
      </c>
    </row>
    <row r="46" spans="1:15" x14ac:dyDescent="0.15">
      <c r="A46">
        <v>3</v>
      </c>
      <c r="B46">
        <v>0</v>
      </c>
      <c r="C46">
        <f t="shared" si="0"/>
        <v>3</v>
      </c>
      <c r="D46">
        <f>IF(頭囲データ!C40="男",頭囲_男!D38,頭囲_女!D38)</f>
        <v>48.4</v>
      </c>
      <c r="E46">
        <f>IF(頭囲データ!D40="男",頭囲_男!E38,頭囲_女!E38)</f>
        <v>1.6</v>
      </c>
      <c r="G46" t="s">
        <v>102</v>
      </c>
      <c r="H46">
        <f t="shared" si="3"/>
        <v>5.25</v>
      </c>
      <c r="I46">
        <f>IF(入力!$B$2="男",頭囲_男!I33,頭囲_女!I33)</f>
        <v>47.7</v>
      </c>
      <c r="J46">
        <f>IF(入力!$B$2="男",頭囲_男!J33,頭囲_女!J33)</f>
        <v>48.5</v>
      </c>
      <c r="K46">
        <f>IF(入力!$B$2="男",頭囲_男!K33,頭囲_女!K33)</f>
        <v>49.4</v>
      </c>
      <c r="L46">
        <f>IF(入力!$B$2="男",頭囲_男!L33,頭囲_女!L33)</f>
        <v>50.3</v>
      </c>
      <c r="M46">
        <f>IF(入力!$B$2="男",頭囲_男!M33,頭囲_女!M33)</f>
        <v>51.4</v>
      </c>
      <c r="N46">
        <f>IF(入力!$B$2="男",頭囲_男!N33,頭囲_女!N33)</f>
        <v>52.4</v>
      </c>
      <c r="O46">
        <f>IF(入力!$B$2="男",頭囲_男!O33,頭囲_女!O33)</f>
        <v>53.3</v>
      </c>
    </row>
    <row r="47" spans="1:15" x14ac:dyDescent="0.15">
      <c r="A47">
        <v>3</v>
      </c>
      <c r="B47">
        <v>1</v>
      </c>
      <c r="C47">
        <f t="shared" si="0"/>
        <v>3.0833333333333335</v>
      </c>
      <c r="D47">
        <f>IF(頭囲データ!C41="男",頭囲_男!D39,頭囲_女!D39)</f>
        <v>48.5</v>
      </c>
      <c r="E47">
        <f>IF(頭囲データ!D41="男",頭囲_男!E39,頭囲_女!E39)</f>
        <v>1.6</v>
      </c>
      <c r="G47" t="s">
        <v>99</v>
      </c>
      <c r="H47">
        <f t="shared" si="3"/>
        <v>5.75</v>
      </c>
      <c r="I47">
        <f>IF(入力!$B$2="男",頭囲_男!I34,頭囲_女!I34)</f>
        <v>48</v>
      </c>
      <c r="J47">
        <f>IF(入力!$B$2="男",頭囲_男!J34,頭囲_女!J34)</f>
        <v>48.8</v>
      </c>
      <c r="K47">
        <f>IF(入力!$B$2="男",頭囲_男!K34,頭囲_女!K34)</f>
        <v>49.7</v>
      </c>
      <c r="L47">
        <f>IF(入力!$B$2="男",頭囲_男!L34,頭囲_女!L34)</f>
        <v>50.6</v>
      </c>
      <c r="M47">
        <f>IF(入力!$B$2="男",頭囲_男!M34,頭囲_女!M34)</f>
        <v>51.7</v>
      </c>
      <c r="N47">
        <f>IF(入力!$B$2="男",頭囲_男!N34,頭囲_女!N34)</f>
        <v>52.7</v>
      </c>
      <c r="O47">
        <f>IF(入力!$B$2="男",頭囲_男!O34,頭囲_女!O34)</f>
        <v>53.7</v>
      </c>
    </row>
    <row r="48" spans="1:15" x14ac:dyDescent="0.15">
      <c r="A48">
        <v>3</v>
      </c>
      <c r="B48">
        <v>2</v>
      </c>
      <c r="C48">
        <f t="shared" si="0"/>
        <v>3.1666666666666665</v>
      </c>
      <c r="D48">
        <f>IF(頭囲データ!C42="男",頭囲_男!D40,頭囲_女!D40)</f>
        <v>48.6</v>
      </c>
      <c r="E48">
        <f>IF(頭囲データ!D42="男",頭囲_男!E40,頭囲_女!E40)</f>
        <v>1.7</v>
      </c>
      <c r="G48" t="s">
        <v>103</v>
      </c>
      <c r="H48">
        <f t="shared" si="3"/>
        <v>6.25</v>
      </c>
      <c r="I48">
        <f>IF(入力!$B$2="男",頭囲_男!I35,頭囲_女!I35)</f>
        <v>48.2</v>
      </c>
      <c r="J48">
        <f>IF(入力!$B$2="男",頭囲_男!J35,頭囲_女!J35)</f>
        <v>49</v>
      </c>
      <c r="K48">
        <f>IF(入力!$B$2="男",頭囲_男!K35,頭囲_女!K35)</f>
        <v>49.9</v>
      </c>
      <c r="L48">
        <f>IF(入力!$B$2="男",頭囲_男!L35,頭囲_女!L35)</f>
        <v>50.9</v>
      </c>
      <c r="M48">
        <f>IF(入力!$B$2="男",頭囲_男!M35,頭囲_女!M35)</f>
        <v>52</v>
      </c>
      <c r="N48">
        <f>IF(入力!$B$2="男",頭囲_男!N35,頭囲_女!N35)</f>
        <v>53</v>
      </c>
      <c r="O48">
        <f>IF(入力!$B$2="男",頭囲_男!O35,頭囲_女!O35)</f>
        <v>54</v>
      </c>
    </row>
    <row r="49" spans="1:5" x14ac:dyDescent="0.15">
      <c r="A49">
        <v>3</v>
      </c>
      <c r="B49">
        <v>3</v>
      </c>
      <c r="C49">
        <f t="shared" si="0"/>
        <v>3.25</v>
      </c>
      <c r="D49">
        <f>IF(頭囲データ!C43="男",頭囲_男!D41,頭囲_女!D41)</f>
        <v>48.7</v>
      </c>
      <c r="E49">
        <f>IF(頭囲データ!D43="男",頭囲_男!E41,頭囲_女!E41)</f>
        <v>1.7</v>
      </c>
    </row>
    <row r="50" spans="1:5" x14ac:dyDescent="0.15">
      <c r="A50">
        <v>3</v>
      </c>
      <c r="B50">
        <v>4</v>
      </c>
      <c r="C50">
        <f t="shared" si="0"/>
        <v>3.3333333333333335</v>
      </c>
      <c r="D50">
        <f>IF(頭囲データ!C44="男",頭囲_男!D42,頭囲_女!D42)</f>
        <v>48.8</v>
      </c>
      <c r="E50">
        <f>IF(頭囲データ!D44="男",頭囲_男!E42,頭囲_女!E42)</f>
        <v>1.7</v>
      </c>
    </row>
    <row r="51" spans="1:5" x14ac:dyDescent="0.15">
      <c r="A51">
        <v>3</v>
      </c>
      <c r="B51">
        <v>5</v>
      </c>
      <c r="C51">
        <f t="shared" si="0"/>
        <v>3.4166666666666665</v>
      </c>
      <c r="D51">
        <f>IF(頭囲データ!C45="男",頭囲_男!D43,頭囲_女!D43)</f>
        <v>48.9</v>
      </c>
      <c r="E51">
        <f>IF(頭囲データ!D45="男",頭囲_男!E43,頭囲_女!E43)</f>
        <v>1.8</v>
      </c>
    </row>
    <row r="52" spans="1:5" x14ac:dyDescent="0.15">
      <c r="A52">
        <v>3</v>
      </c>
      <c r="B52">
        <v>6</v>
      </c>
      <c r="C52">
        <f t="shared" si="0"/>
        <v>3.5</v>
      </c>
      <c r="D52">
        <f>IF(頭囲データ!C46="男",頭囲_男!D44,頭囲_女!D44)</f>
        <v>49</v>
      </c>
      <c r="E52">
        <f>IF(頭囲データ!D46="男",頭囲_男!E44,頭囲_女!E44)</f>
        <v>1.8</v>
      </c>
    </row>
    <row r="53" spans="1:5" x14ac:dyDescent="0.15">
      <c r="A53">
        <v>3</v>
      </c>
      <c r="B53">
        <v>7</v>
      </c>
      <c r="C53">
        <f t="shared" si="0"/>
        <v>3.5833333333333335</v>
      </c>
      <c r="D53">
        <f>IF(頭囲データ!C47="男",頭囲_男!D45,頭囲_女!D45)</f>
        <v>49.1</v>
      </c>
      <c r="E53">
        <f>IF(頭囲データ!D47="男",頭囲_男!E45,頭囲_女!E45)</f>
        <v>1.8</v>
      </c>
    </row>
    <row r="54" spans="1:5" x14ac:dyDescent="0.15">
      <c r="A54">
        <v>3</v>
      </c>
      <c r="B54">
        <v>8</v>
      </c>
      <c r="C54">
        <f t="shared" si="0"/>
        <v>3.6666666666666665</v>
      </c>
      <c r="D54">
        <f>IF(頭囲データ!C48="男",頭囲_男!D46,頭囲_女!D46)</f>
        <v>49.2</v>
      </c>
      <c r="E54">
        <f>IF(頭囲データ!D48="男",頭囲_男!E46,頭囲_女!E46)</f>
        <v>1.9</v>
      </c>
    </row>
    <row r="55" spans="1:5" x14ac:dyDescent="0.15">
      <c r="A55">
        <v>3</v>
      </c>
      <c r="B55">
        <v>9</v>
      </c>
      <c r="C55">
        <f t="shared" si="0"/>
        <v>3.75</v>
      </c>
      <c r="D55">
        <f>IF(頭囲データ!C49="男",頭囲_男!D47,頭囲_女!D47)</f>
        <v>49.3</v>
      </c>
      <c r="E55">
        <f>IF(頭囲データ!D49="男",頭囲_男!E47,頭囲_女!E47)</f>
        <v>1.9</v>
      </c>
    </row>
    <row r="56" spans="1:5" x14ac:dyDescent="0.15">
      <c r="A56">
        <v>3</v>
      </c>
      <c r="B56">
        <v>10</v>
      </c>
      <c r="C56">
        <f t="shared" si="0"/>
        <v>3.8333333333333335</v>
      </c>
      <c r="D56">
        <f>IF(頭囲データ!C50="男",頭囲_男!D48,頭囲_女!D48)</f>
        <v>49.4</v>
      </c>
      <c r="E56">
        <f>IF(頭囲データ!D50="男",頭囲_男!E48,頭囲_女!E48)</f>
        <v>1.8</v>
      </c>
    </row>
    <row r="57" spans="1:5" x14ac:dyDescent="0.15">
      <c r="A57">
        <v>3</v>
      </c>
      <c r="B57">
        <v>11</v>
      </c>
      <c r="C57">
        <f t="shared" si="0"/>
        <v>3.9166666666666665</v>
      </c>
      <c r="D57">
        <f>IF(頭囲データ!C51="男",頭囲_男!D49,頭囲_女!D49)</f>
        <v>49.4</v>
      </c>
      <c r="E57">
        <f>IF(頭囲データ!D51="男",頭囲_男!E49,頭囲_女!E49)</f>
        <v>1.7</v>
      </c>
    </row>
    <row r="58" spans="1:5" x14ac:dyDescent="0.15">
      <c r="A58">
        <v>4</v>
      </c>
      <c r="B58">
        <v>0</v>
      </c>
      <c r="C58">
        <f t="shared" si="0"/>
        <v>4</v>
      </c>
      <c r="D58">
        <f>IF(頭囲データ!C52="男",頭囲_男!D50,頭囲_女!D50)</f>
        <v>49.5</v>
      </c>
      <c r="E58">
        <f>IF(頭囲データ!D52="男",頭囲_男!E50,頭囲_女!E50)</f>
        <v>1.6</v>
      </c>
    </row>
    <row r="59" spans="1:5" x14ac:dyDescent="0.15">
      <c r="A59">
        <v>4</v>
      </c>
      <c r="B59">
        <v>1</v>
      </c>
      <c r="C59">
        <f t="shared" si="0"/>
        <v>4.083333333333333</v>
      </c>
      <c r="D59">
        <f>IF(頭囲データ!C53="男",頭囲_男!D51,頭囲_女!D51)</f>
        <v>49.5</v>
      </c>
      <c r="E59">
        <f>IF(頭囲データ!D53="男",頭囲_男!E51,頭囲_女!E51)</f>
        <v>1.5</v>
      </c>
    </row>
    <row r="60" spans="1:5" x14ac:dyDescent="0.15">
      <c r="A60">
        <v>4</v>
      </c>
      <c r="B60">
        <v>2</v>
      </c>
      <c r="C60">
        <f t="shared" si="0"/>
        <v>4.166666666666667</v>
      </c>
      <c r="D60">
        <f>IF(頭囲データ!C54="男",頭囲_男!D52,頭囲_女!D52)</f>
        <v>49.6</v>
      </c>
      <c r="E60">
        <f>IF(頭囲データ!D54="男",頭囲_男!E52,頭囲_女!E52)</f>
        <v>1.4</v>
      </c>
    </row>
    <row r="61" spans="1:5" x14ac:dyDescent="0.15">
      <c r="A61">
        <v>4</v>
      </c>
      <c r="B61">
        <v>3</v>
      </c>
      <c r="C61">
        <f t="shared" si="0"/>
        <v>4.25</v>
      </c>
      <c r="D61">
        <f>IF(頭囲データ!C55="男",頭囲_男!D53,頭囲_女!D53)</f>
        <v>49.6</v>
      </c>
      <c r="E61">
        <f>IF(頭囲データ!D55="男",頭囲_男!E53,頭囲_女!E53)</f>
        <v>1.3</v>
      </c>
    </row>
    <row r="62" spans="1:5" x14ac:dyDescent="0.15">
      <c r="A62">
        <v>4</v>
      </c>
      <c r="B62">
        <v>4</v>
      </c>
      <c r="C62">
        <f t="shared" si="0"/>
        <v>4.333333333333333</v>
      </c>
      <c r="D62">
        <f>IF(頭囲データ!C56="男",頭囲_男!D54,頭囲_女!D54)</f>
        <v>49.7</v>
      </c>
      <c r="E62">
        <f>IF(頭囲データ!D56="男",頭囲_男!E54,頭囲_女!E54)</f>
        <v>1.3</v>
      </c>
    </row>
    <row r="63" spans="1:5" x14ac:dyDescent="0.15">
      <c r="A63">
        <v>4</v>
      </c>
      <c r="B63">
        <v>5</v>
      </c>
      <c r="C63">
        <f t="shared" si="0"/>
        <v>4.416666666666667</v>
      </c>
      <c r="D63">
        <f>IF(頭囲データ!C57="男",頭囲_男!D55,頭囲_女!D55)</f>
        <v>49.8</v>
      </c>
      <c r="E63">
        <f>IF(頭囲データ!D57="男",頭囲_男!E55,頭囲_女!E55)</f>
        <v>1.4</v>
      </c>
    </row>
    <row r="64" spans="1:5" x14ac:dyDescent="0.15">
      <c r="A64">
        <v>4</v>
      </c>
      <c r="B64">
        <v>6</v>
      </c>
      <c r="C64">
        <f t="shared" si="0"/>
        <v>4.5</v>
      </c>
      <c r="D64">
        <f>IF(頭囲データ!C58="男",頭囲_男!D56,頭囲_女!D56)</f>
        <v>49.9</v>
      </c>
      <c r="E64">
        <f>IF(頭囲データ!D58="男",頭囲_男!E56,頭囲_女!E56)</f>
        <v>1.4</v>
      </c>
    </row>
    <row r="65" spans="1:5" x14ac:dyDescent="0.15">
      <c r="A65">
        <v>4</v>
      </c>
      <c r="B65">
        <v>7</v>
      </c>
      <c r="C65">
        <f t="shared" si="0"/>
        <v>4.583333333333333</v>
      </c>
      <c r="D65">
        <f>IF(頭囲データ!C59="男",頭囲_男!D57,頭囲_女!D57)</f>
        <v>49.9</v>
      </c>
      <c r="E65">
        <f>IF(頭囲データ!D59="男",頭囲_男!E57,頭囲_女!E57)</f>
        <v>1.4</v>
      </c>
    </row>
    <row r="66" spans="1:5" x14ac:dyDescent="0.15">
      <c r="A66">
        <v>4</v>
      </c>
      <c r="B66">
        <v>8</v>
      </c>
      <c r="C66">
        <f t="shared" si="0"/>
        <v>4.666666666666667</v>
      </c>
      <c r="D66">
        <f>IF(頭囲データ!C60="男",頭囲_男!D58,頭囲_女!D58)</f>
        <v>50</v>
      </c>
      <c r="E66">
        <f>IF(頭囲データ!D60="男",頭囲_男!E58,頭囲_女!E58)</f>
        <v>1.5</v>
      </c>
    </row>
    <row r="67" spans="1:5" x14ac:dyDescent="0.15">
      <c r="A67">
        <v>4</v>
      </c>
      <c r="B67">
        <v>9</v>
      </c>
      <c r="C67">
        <f t="shared" si="0"/>
        <v>4.75</v>
      </c>
      <c r="D67">
        <f>IF(頭囲データ!C61="男",頭囲_男!D59,頭囲_女!D59)</f>
        <v>50.1</v>
      </c>
      <c r="E67">
        <f>IF(頭囲データ!D61="男",頭囲_男!E59,頭囲_女!E59)</f>
        <v>1.5</v>
      </c>
    </row>
    <row r="68" spans="1:5" x14ac:dyDescent="0.15">
      <c r="A68">
        <v>4</v>
      </c>
      <c r="B68">
        <v>10</v>
      </c>
      <c r="C68">
        <f t="shared" si="0"/>
        <v>4.833333333333333</v>
      </c>
      <c r="D68">
        <f>IF(頭囲データ!C62="男",頭囲_男!D60,頭囲_女!D60)</f>
        <v>50.2</v>
      </c>
      <c r="E68">
        <f>IF(頭囲データ!D62="男",頭囲_男!E60,頭囲_女!E60)</f>
        <v>1.5</v>
      </c>
    </row>
    <row r="69" spans="1:5" x14ac:dyDescent="0.15">
      <c r="A69">
        <v>4</v>
      </c>
      <c r="B69">
        <v>11</v>
      </c>
      <c r="C69">
        <f t="shared" si="0"/>
        <v>4.916666666666667</v>
      </c>
      <c r="D69">
        <f>IF(頭囲データ!C63="男",頭囲_男!D61,頭囲_女!D61)</f>
        <v>50.2</v>
      </c>
      <c r="E69">
        <f>IF(頭囲データ!D63="男",頭囲_男!E61,頭囲_女!E61)</f>
        <v>1.6</v>
      </c>
    </row>
    <row r="70" spans="1:5" x14ac:dyDescent="0.15">
      <c r="A70">
        <v>5</v>
      </c>
      <c r="B70">
        <v>0</v>
      </c>
      <c r="C70">
        <f t="shared" si="0"/>
        <v>5</v>
      </c>
      <c r="D70">
        <f>IF(頭囲データ!C64="男",頭囲_男!D62,頭囲_女!D62)</f>
        <v>50.3</v>
      </c>
      <c r="E70">
        <f>IF(頭囲データ!D64="男",頭囲_男!E62,頭囲_女!E62)</f>
        <v>1.6</v>
      </c>
    </row>
    <row r="71" spans="1:5" x14ac:dyDescent="0.15">
      <c r="A71">
        <v>5</v>
      </c>
      <c r="B71">
        <v>1</v>
      </c>
      <c r="C71">
        <f t="shared" si="0"/>
        <v>5.083333333333333</v>
      </c>
      <c r="D71">
        <f>IF(頭囲データ!C65="男",頭囲_男!D63,頭囲_女!D63)</f>
        <v>50.3</v>
      </c>
      <c r="E71">
        <f>IF(頭囲データ!D65="男",頭囲_男!E63,頭囲_女!E63)</f>
        <v>1.6</v>
      </c>
    </row>
    <row r="72" spans="1:5" x14ac:dyDescent="0.15">
      <c r="A72">
        <v>5</v>
      </c>
      <c r="B72">
        <v>2</v>
      </c>
      <c r="C72">
        <f t="shared" si="0"/>
        <v>5.166666666666667</v>
      </c>
      <c r="D72">
        <f>IF(頭囲データ!C66="男",頭囲_男!D64,頭囲_女!D64)</f>
        <v>50.4</v>
      </c>
      <c r="E72">
        <f>IF(頭囲データ!D66="男",頭囲_男!E64,頭囲_女!E64)</f>
        <v>1.7</v>
      </c>
    </row>
    <row r="73" spans="1:5" x14ac:dyDescent="0.15">
      <c r="A73">
        <v>5</v>
      </c>
      <c r="B73">
        <v>3</v>
      </c>
      <c r="C73">
        <f t="shared" si="0"/>
        <v>5.25</v>
      </c>
      <c r="D73">
        <f>IF(頭囲データ!C67="男",頭囲_男!D65,頭囲_女!D65)</f>
        <v>50.4</v>
      </c>
      <c r="E73">
        <f>IF(頭囲データ!D67="男",頭囲_男!E65,頭囲_女!E65)</f>
        <v>1.7</v>
      </c>
    </row>
    <row r="74" spans="1:5" x14ac:dyDescent="0.15">
      <c r="A74">
        <v>5</v>
      </c>
      <c r="B74">
        <v>4</v>
      </c>
      <c r="C74">
        <f t="shared" si="0"/>
        <v>5.333333333333333</v>
      </c>
      <c r="D74">
        <f>IF(頭囲データ!C68="男",頭囲_男!D66,頭囲_女!D66)</f>
        <v>50.5</v>
      </c>
      <c r="E74">
        <f>IF(頭囲データ!D68="男",頭囲_男!E66,頭囲_女!E66)</f>
        <v>1.7</v>
      </c>
    </row>
    <row r="75" spans="1:5" x14ac:dyDescent="0.15">
      <c r="A75">
        <v>5</v>
      </c>
      <c r="B75">
        <v>5</v>
      </c>
      <c r="C75">
        <f t="shared" ref="C75:C85" si="4">A75+B75/12</f>
        <v>5.416666666666667</v>
      </c>
      <c r="D75">
        <f>IF(頭囲データ!C69="男",頭囲_男!D67,頭囲_女!D67)</f>
        <v>50.5</v>
      </c>
      <c r="E75">
        <f>IF(頭囲データ!D69="男",頭囲_男!E67,頭囲_女!E67)</f>
        <v>1.7</v>
      </c>
    </row>
    <row r="76" spans="1:5" x14ac:dyDescent="0.15">
      <c r="A76">
        <v>5</v>
      </c>
      <c r="B76">
        <v>6</v>
      </c>
      <c r="C76">
        <f t="shared" si="4"/>
        <v>5.5</v>
      </c>
      <c r="D76">
        <f>IF(頭囲データ!C70="男",頭囲_男!D68,頭囲_女!D68)</f>
        <v>50.6</v>
      </c>
      <c r="E76">
        <f>IF(頭囲データ!D70="男",頭囲_男!E68,頭囲_女!E68)</f>
        <v>1.7</v>
      </c>
    </row>
    <row r="77" spans="1:5" x14ac:dyDescent="0.15">
      <c r="A77">
        <v>5</v>
      </c>
      <c r="B77">
        <v>7</v>
      </c>
      <c r="C77">
        <f t="shared" si="4"/>
        <v>5.583333333333333</v>
      </c>
      <c r="D77">
        <f>IF(頭囲データ!C71="男",頭囲_男!D69,頭囲_女!D69)</f>
        <v>50.6</v>
      </c>
      <c r="E77">
        <f>IF(頭囲データ!D71="男",頭囲_男!E69,頭囲_女!E69)</f>
        <v>1.6</v>
      </c>
    </row>
    <row r="78" spans="1:5" x14ac:dyDescent="0.15">
      <c r="A78">
        <v>5</v>
      </c>
      <c r="B78">
        <v>8</v>
      </c>
      <c r="C78">
        <f t="shared" si="4"/>
        <v>5.666666666666667</v>
      </c>
      <c r="D78">
        <f>IF(頭囲データ!C72="男",頭囲_男!D70,頭囲_女!D70)</f>
        <v>50.7</v>
      </c>
      <c r="E78">
        <f>IF(頭囲データ!D72="男",頭囲_男!E70,頭囲_女!E70)</f>
        <v>1.6</v>
      </c>
    </row>
    <row r="79" spans="1:5" x14ac:dyDescent="0.15">
      <c r="A79">
        <v>5</v>
      </c>
      <c r="B79">
        <v>9</v>
      </c>
      <c r="C79">
        <f t="shared" si="4"/>
        <v>5.75</v>
      </c>
      <c r="D79">
        <f>IF(頭囲データ!C73="男",頭囲_男!D71,頭囲_女!D71)</f>
        <v>50.7</v>
      </c>
      <c r="E79">
        <f>IF(頭囲データ!D73="男",頭囲_男!E71,頭囲_女!E71)</f>
        <v>1.6</v>
      </c>
    </row>
    <row r="80" spans="1:5" x14ac:dyDescent="0.15">
      <c r="A80">
        <v>5</v>
      </c>
      <c r="B80">
        <v>10</v>
      </c>
      <c r="C80">
        <f t="shared" si="4"/>
        <v>5.833333333333333</v>
      </c>
      <c r="D80">
        <f>IF(頭囲データ!C74="男",頭囲_男!D72,頭囲_女!D72)</f>
        <v>50.7</v>
      </c>
      <c r="E80">
        <f>IF(頭囲データ!D74="男",頭囲_男!E72,頭囲_女!E72)</f>
        <v>1.6</v>
      </c>
    </row>
    <row r="81" spans="1:5" x14ac:dyDescent="0.15">
      <c r="A81">
        <v>5</v>
      </c>
      <c r="B81">
        <v>11</v>
      </c>
      <c r="C81">
        <f t="shared" si="4"/>
        <v>5.916666666666667</v>
      </c>
      <c r="D81">
        <f>IF(頭囲データ!C75="男",頭囲_男!D73,頭囲_女!D73)</f>
        <v>50.7</v>
      </c>
      <c r="E81">
        <f>IF(頭囲データ!D75="男",頭囲_男!E73,頭囲_女!E73)</f>
        <v>1.6</v>
      </c>
    </row>
    <row r="82" spans="1:5" x14ac:dyDescent="0.15">
      <c r="A82">
        <v>6</v>
      </c>
      <c r="B82">
        <v>0</v>
      </c>
      <c r="C82">
        <f t="shared" si="4"/>
        <v>6</v>
      </c>
      <c r="D82">
        <f>IF(頭囲データ!C76="男",頭囲_男!D74,頭囲_女!D74)</f>
        <v>50.7</v>
      </c>
      <c r="E82">
        <f>IF(頭囲データ!D76="男",頭囲_男!E74,頭囲_女!E74)</f>
        <v>1.7</v>
      </c>
    </row>
    <row r="83" spans="1:5" x14ac:dyDescent="0.15">
      <c r="A83">
        <v>6</v>
      </c>
      <c r="B83">
        <v>1</v>
      </c>
      <c r="C83">
        <f t="shared" si="4"/>
        <v>6.083333333333333</v>
      </c>
      <c r="D83">
        <f>IF(頭囲データ!C77="男",頭囲_男!D75,頭囲_女!D75)</f>
        <v>50.7</v>
      </c>
      <c r="E83">
        <f>IF(頭囲データ!D77="男",頭囲_男!E75,頭囲_女!E75)</f>
        <v>1.7</v>
      </c>
    </row>
    <row r="84" spans="1:5" x14ac:dyDescent="0.15">
      <c r="A84">
        <v>6</v>
      </c>
      <c r="B84">
        <v>2</v>
      </c>
      <c r="C84">
        <f t="shared" si="4"/>
        <v>6.166666666666667</v>
      </c>
      <c r="D84">
        <f>IF(頭囲データ!C78="男",頭囲_男!D76,頭囲_女!D76)</f>
        <v>50.7</v>
      </c>
      <c r="E84">
        <f>IF(頭囲データ!D78="男",頭囲_男!E76,頭囲_女!E76)</f>
        <v>1.7</v>
      </c>
    </row>
    <row r="85" spans="1:5" x14ac:dyDescent="0.15">
      <c r="A85">
        <v>6</v>
      </c>
      <c r="B85">
        <v>3</v>
      </c>
      <c r="C85">
        <f t="shared" si="4"/>
        <v>6.25</v>
      </c>
      <c r="D85">
        <f>IF(頭囲データ!C79="男",頭囲_男!D77,頭囲_女!D77)</f>
        <v>50.7</v>
      </c>
      <c r="E85">
        <f>IF(頭囲データ!D79="男",頭囲_男!E77,頭囲_女!E77)</f>
        <v>1.7</v>
      </c>
    </row>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topLeftCell="D1" workbookViewId="0">
      <selection activeCell="R10" sqref="R10"/>
    </sheetView>
  </sheetViews>
  <sheetFormatPr baseColWidth="12" defaultColWidth="8.83203125" defaultRowHeight="14" x14ac:dyDescent="0.15"/>
  <sheetData>
    <row r="1" spans="1:23" ht="13.5" customHeight="1" x14ac:dyDescent="0.15">
      <c r="A1" t="s">
        <v>80</v>
      </c>
      <c r="B1" t="s">
        <v>82</v>
      </c>
      <c r="D1" t="s">
        <v>81</v>
      </c>
      <c r="E1" t="s">
        <v>160</v>
      </c>
      <c r="H1" t="s">
        <v>80</v>
      </c>
      <c r="I1">
        <v>3</v>
      </c>
      <c r="J1">
        <v>10</v>
      </c>
      <c r="K1">
        <v>25</v>
      </c>
      <c r="L1">
        <v>50</v>
      </c>
      <c r="M1">
        <v>75</v>
      </c>
      <c r="N1">
        <v>90</v>
      </c>
      <c r="O1">
        <v>97</v>
      </c>
      <c r="Q1" t="s">
        <v>106</v>
      </c>
      <c r="T1" t="s">
        <v>107</v>
      </c>
      <c r="U1" t="s">
        <v>108</v>
      </c>
      <c r="V1" t="s">
        <v>109</v>
      </c>
      <c r="W1">
        <v>1</v>
      </c>
    </row>
    <row r="2" spans="1:23" ht="13.5" customHeight="1" x14ac:dyDescent="0.15">
      <c r="A2">
        <v>0</v>
      </c>
      <c r="B2">
        <v>0</v>
      </c>
      <c r="C2">
        <f>A2+B2/12</f>
        <v>0</v>
      </c>
      <c r="D2">
        <v>33.299999999999997</v>
      </c>
      <c r="E2">
        <v>1.4</v>
      </c>
      <c r="G2" t="s">
        <v>83</v>
      </c>
      <c r="H2">
        <v>0</v>
      </c>
      <c r="I2">
        <v>31.2</v>
      </c>
      <c r="J2">
        <v>31.9</v>
      </c>
      <c r="K2">
        <v>32.700000000000003</v>
      </c>
      <c r="L2">
        <v>33.5</v>
      </c>
      <c r="M2">
        <v>34.299999999999997</v>
      </c>
      <c r="N2">
        <v>35.1</v>
      </c>
      <c r="O2">
        <v>35.799999999999997</v>
      </c>
      <c r="Q2" t="s">
        <v>38</v>
      </c>
      <c r="R2">
        <v>0</v>
      </c>
      <c r="S2">
        <v>2</v>
      </c>
      <c r="T2">
        <v>0.24083481800000001</v>
      </c>
      <c r="U2">
        <v>-0.80609790000000003</v>
      </c>
      <c r="V2">
        <v>-0.68522000000000005</v>
      </c>
      <c r="W2">
        <v>3.5751569999999999</v>
      </c>
    </row>
    <row r="3" spans="1:23" x14ac:dyDescent="0.15">
      <c r="A3">
        <v>0</v>
      </c>
      <c r="B3">
        <v>1</v>
      </c>
      <c r="C3">
        <f t="shared" ref="C3:C66" si="0">A3+B3/12</f>
        <v>8.3333333333333329E-2</v>
      </c>
      <c r="D3">
        <v>36.4</v>
      </c>
      <c r="E3">
        <v>1.5</v>
      </c>
      <c r="G3" t="s">
        <v>84</v>
      </c>
      <c r="H3">
        <f>1/12</f>
        <v>8.3333333333333329E-2</v>
      </c>
      <c r="I3">
        <v>34.200000000000003</v>
      </c>
      <c r="J3">
        <v>35</v>
      </c>
      <c r="K3">
        <v>36</v>
      </c>
      <c r="L3">
        <v>36.799999999999997</v>
      </c>
      <c r="M3">
        <v>37.6</v>
      </c>
      <c r="N3">
        <v>38.4</v>
      </c>
      <c r="O3">
        <v>39.200000000000003</v>
      </c>
      <c r="R3">
        <v>2</v>
      </c>
      <c r="T3">
        <v>-0.12102106</v>
      </c>
      <c r="U3">
        <v>1.36503741</v>
      </c>
      <c r="V3">
        <v>-5.0274900000000002</v>
      </c>
      <c r="W3">
        <v>6.4700040000000003</v>
      </c>
    </row>
    <row r="4" spans="1:23" x14ac:dyDescent="0.15">
      <c r="A4">
        <v>0</v>
      </c>
      <c r="B4">
        <v>2</v>
      </c>
      <c r="C4">
        <f t="shared" si="0"/>
        <v>0.16666666666666666</v>
      </c>
      <c r="D4">
        <v>38.9</v>
      </c>
      <c r="E4">
        <v>1.7</v>
      </c>
      <c r="G4" t="s">
        <v>85</v>
      </c>
      <c r="H4">
        <f>1.5/12</f>
        <v>0.125</v>
      </c>
      <c r="I4">
        <v>35.299999999999997</v>
      </c>
      <c r="J4">
        <v>36.200000000000003</v>
      </c>
      <c r="K4">
        <v>37.200000000000003</v>
      </c>
      <c r="L4">
        <v>38</v>
      </c>
      <c r="M4">
        <v>38.799999999999997</v>
      </c>
      <c r="N4">
        <v>39.6</v>
      </c>
      <c r="O4">
        <v>40.4</v>
      </c>
      <c r="Q4" t="s">
        <v>110</v>
      </c>
      <c r="R4">
        <v>0</v>
      </c>
      <c r="S4">
        <v>0.5</v>
      </c>
      <c r="T4">
        <v>44.157007759999999</v>
      </c>
      <c r="U4">
        <v>-69.569389999999999</v>
      </c>
      <c r="V4">
        <v>43.363860000000003</v>
      </c>
      <c r="W4">
        <v>33.533999999999999</v>
      </c>
    </row>
    <row r="5" spans="1:23" x14ac:dyDescent="0.15">
      <c r="A5">
        <v>0</v>
      </c>
      <c r="B5">
        <v>3</v>
      </c>
      <c r="C5">
        <f t="shared" si="0"/>
        <v>0.25</v>
      </c>
      <c r="D5">
        <v>40.299999999999997</v>
      </c>
      <c r="E5">
        <v>1.8</v>
      </c>
      <c r="G5" t="s">
        <v>86</v>
      </c>
      <c r="H5">
        <f>H4+1/12</f>
        <v>0.20833333333333331</v>
      </c>
      <c r="I5">
        <v>37</v>
      </c>
      <c r="J5">
        <v>38</v>
      </c>
      <c r="K5">
        <v>39</v>
      </c>
      <c r="L5">
        <v>39.799999999999997</v>
      </c>
      <c r="M5">
        <v>40.700000000000003</v>
      </c>
      <c r="N5">
        <v>41.4</v>
      </c>
      <c r="O5">
        <v>42.2</v>
      </c>
      <c r="R5">
        <v>0.5</v>
      </c>
      <c r="S5">
        <v>1</v>
      </c>
      <c r="T5">
        <v>0.59194850099999996</v>
      </c>
      <c r="U5">
        <v>-4.2218014000000004</v>
      </c>
      <c r="V5">
        <v>10.69007</v>
      </c>
      <c r="W5">
        <v>38.97963</v>
      </c>
    </row>
    <row r="6" spans="1:23" x14ac:dyDescent="0.15">
      <c r="A6">
        <v>0</v>
      </c>
      <c r="B6">
        <v>4</v>
      </c>
      <c r="C6">
        <f t="shared" si="0"/>
        <v>0.33333333333333331</v>
      </c>
      <c r="D6">
        <v>41.5</v>
      </c>
      <c r="E6">
        <v>1.6</v>
      </c>
      <c r="G6" t="s">
        <v>87</v>
      </c>
      <c r="H6">
        <f t="shared" ref="H6:H26" si="1">H5+1/12</f>
        <v>0.29166666666666663</v>
      </c>
      <c r="I6">
        <v>38.5</v>
      </c>
      <c r="J6">
        <v>39.5</v>
      </c>
      <c r="K6">
        <v>40.5</v>
      </c>
      <c r="L6">
        <v>41.3</v>
      </c>
      <c r="M6">
        <v>42.2</v>
      </c>
      <c r="N6">
        <v>42.9</v>
      </c>
      <c r="O6">
        <v>43.7</v>
      </c>
      <c r="R6">
        <v>1</v>
      </c>
      <c r="S6">
        <v>2</v>
      </c>
      <c r="T6">
        <v>0.73721166999999999</v>
      </c>
      <c r="U6">
        <v>-4.6575908999999998</v>
      </c>
      <c r="V6">
        <v>11.125859999999999</v>
      </c>
      <c r="W6">
        <v>38.83437</v>
      </c>
    </row>
    <row r="7" spans="1:23" x14ac:dyDescent="0.15">
      <c r="A7">
        <v>0</v>
      </c>
      <c r="B7">
        <v>5</v>
      </c>
      <c r="C7">
        <f t="shared" si="0"/>
        <v>0.41666666666666669</v>
      </c>
      <c r="D7">
        <v>42.5</v>
      </c>
      <c r="E7">
        <v>1.4</v>
      </c>
      <c r="G7" t="s">
        <v>88</v>
      </c>
      <c r="H7">
        <f t="shared" si="1"/>
        <v>0.37499999999999994</v>
      </c>
      <c r="I7">
        <v>39.799999999999997</v>
      </c>
      <c r="J7">
        <v>40.700000000000003</v>
      </c>
      <c r="K7">
        <v>41.5</v>
      </c>
      <c r="L7">
        <v>42.3</v>
      </c>
      <c r="M7">
        <v>43.2</v>
      </c>
      <c r="N7">
        <v>43.9</v>
      </c>
      <c r="O7">
        <v>44.7</v>
      </c>
      <c r="R7">
        <v>2</v>
      </c>
      <c r="S7">
        <v>4</v>
      </c>
      <c r="T7">
        <v>2.3799474000000001E-2</v>
      </c>
      <c r="U7">
        <v>-0.3771177</v>
      </c>
      <c r="V7">
        <v>2.5649109999999999</v>
      </c>
      <c r="W7">
        <v>44.54166</v>
      </c>
    </row>
    <row r="8" spans="1:23" x14ac:dyDescent="0.15">
      <c r="A8">
        <v>0</v>
      </c>
      <c r="B8">
        <v>6</v>
      </c>
      <c r="C8">
        <f t="shared" si="0"/>
        <v>0.5</v>
      </c>
      <c r="D8">
        <v>43.3</v>
      </c>
      <c r="E8">
        <v>1.3</v>
      </c>
      <c r="G8" t="s">
        <v>89</v>
      </c>
      <c r="H8">
        <f t="shared" si="1"/>
        <v>0.45833333333333326</v>
      </c>
      <c r="I8">
        <v>40.5</v>
      </c>
      <c r="J8">
        <v>41.5</v>
      </c>
      <c r="K8">
        <v>42.2</v>
      </c>
      <c r="L8">
        <v>43.1</v>
      </c>
      <c r="M8">
        <v>43.9</v>
      </c>
      <c r="N8">
        <v>44.7</v>
      </c>
      <c r="O8">
        <v>45.4</v>
      </c>
      <c r="R8">
        <v>4</v>
      </c>
      <c r="T8">
        <v>1.7333545999999998E-2</v>
      </c>
      <c r="U8">
        <v>-0.29952659999999998</v>
      </c>
      <c r="V8">
        <v>2.2545459999999999</v>
      </c>
      <c r="W8">
        <v>44.955480000000001</v>
      </c>
    </row>
    <row r="9" spans="1:23" x14ac:dyDescent="0.15">
      <c r="A9">
        <v>0</v>
      </c>
      <c r="B9">
        <v>7</v>
      </c>
      <c r="C9">
        <f t="shared" si="0"/>
        <v>0.58333333333333337</v>
      </c>
      <c r="D9">
        <v>44</v>
      </c>
      <c r="E9">
        <v>1.3</v>
      </c>
      <c r="G9" t="s">
        <v>90</v>
      </c>
      <c r="H9">
        <f t="shared" si="1"/>
        <v>0.54166666666666663</v>
      </c>
      <c r="I9">
        <v>41.1</v>
      </c>
      <c r="J9">
        <v>42.1</v>
      </c>
      <c r="K9">
        <v>42.8</v>
      </c>
      <c r="L9">
        <v>43.7</v>
      </c>
      <c r="M9">
        <v>44.5</v>
      </c>
      <c r="N9">
        <v>45.3</v>
      </c>
      <c r="O9">
        <v>46.1</v>
      </c>
      <c r="Q9" t="s">
        <v>111</v>
      </c>
      <c r="R9">
        <v>0</v>
      </c>
      <c r="S9">
        <v>1</v>
      </c>
      <c r="T9">
        <v>-1.498233E-2</v>
      </c>
      <c r="U9">
        <v>4.3596530000000001E-2</v>
      </c>
      <c r="V9">
        <v>-4.0219999999999999E-2</v>
      </c>
      <c r="W9">
        <v>4.1033E-2</v>
      </c>
    </row>
    <row r="10" spans="1:23" x14ac:dyDescent="0.15">
      <c r="A10">
        <v>0</v>
      </c>
      <c r="B10">
        <v>8</v>
      </c>
      <c r="C10">
        <f t="shared" si="0"/>
        <v>0.66666666666666663</v>
      </c>
      <c r="D10">
        <v>44.6</v>
      </c>
      <c r="E10">
        <v>1.4</v>
      </c>
      <c r="G10" t="s">
        <v>91</v>
      </c>
      <c r="H10">
        <f t="shared" si="1"/>
        <v>0.625</v>
      </c>
      <c r="I10">
        <v>41.7</v>
      </c>
      <c r="J10">
        <v>42.6</v>
      </c>
      <c r="K10">
        <v>43.4</v>
      </c>
      <c r="L10">
        <v>44.3</v>
      </c>
      <c r="M10">
        <v>45.1</v>
      </c>
      <c r="N10">
        <v>45.9</v>
      </c>
      <c r="O10">
        <v>46.7</v>
      </c>
      <c r="R10">
        <v>1</v>
      </c>
      <c r="T10">
        <v>-2.9964649999999999E-2</v>
      </c>
      <c r="U10">
        <v>8.7193049999999994E-2</v>
      </c>
      <c r="V10">
        <v>-8.0439999999999998E-2</v>
      </c>
      <c r="W10">
        <v>8.2066E-2</v>
      </c>
    </row>
    <row r="11" spans="1:23" x14ac:dyDescent="0.15">
      <c r="A11">
        <v>0</v>
      </c>
      <c r="B11">
        <v>9</v>
      </c>
      <c r="C11">
        <f t="shared" si="0"/>
        <v>0.75</v>
      </c>
      <c r="D11">
        <v>45.1</v>
      </c>
      <c r="E11">
        <v>1.6</v>
      </c>
      <c r="G11" t="s">
        <v>92</v>
      </c>
      <c r="H11">
        <f t="shared" si="1"/>
        <v>0.70833333333333337</v>
      </c>
      <c r="I11">
        <v>42.3</v>
      </c>
      <c r="J11">
        <v>43.2</v>
      </c>
      <c r="K11">
        <v>44</v>
      </c>
      <c r="L11">
        <v>44.9</v>
      </c>
      <c r="M11">
        <v>45.7</v>
      </c>
      <c r="N11">
        <v>46.5</v>
      </c>
      <c r="O11">
        <v>47.3</v>
      </c>
    </row>
    <row r="12" spans="1:23" x14ac:dyDescent="0.15">
      <c r="A12">
        <v>0</v>
      </c>
      <c r="B12">
        <v>10</v>
      </c>
      <c r="C12">
        <f t="shared" si="0"/>
        <v>0.83333333333333337</v>
      </c>
      <c r="D12">
        <v>45.7</v>
      </c>
      <c r="E12">
        <v>1.6</v>
      </c>
      <c r="G12" t="s">
        <v>93</v>
      </c>
      <c r="H12">
        <f t="shared" si="1"/>
        <v>0.79166666666666674</v>
      </c>
      <c r="I12">
        <v>42.7</v>
      </c>
      <c r="J12">
        <v>43.6</v>
      </c>
      <c r="K12">
        <v>44.4</v>
      </c>
      <c r="L12">
        <v>45.3</v>
      </c>
      <c r="M12">
        <v>46.2</v>
      </c>
      <c r="N12">
        <v>46.9</v>
      </c>
      <c r="O12">
        <v>47.7</v>
      </c>
    </row>
    <row r="13" spans="1:23" x14ac:dyDescent="0.15">
      <c r="A13">
        <v>0</v>
      </c>
      <c r="B13">
        <v>11</v>
      </c>
      <c r="C13">
        <f t="shared" si="0"/>
        <v>0.91666666666666663</v>
      </c>
      <c r="D13">
        <v>46</v>
      </c>
      <c r="E13">
        <v>1.5</v>
      </c>
      <c r="G13" t="s">
        <v>94</v>
      </c>
      <c r="H13">
        <f t="shared" si="1"/>
        <v>0.87500000000000011</v>
      </c>
      <c r="I13">
        <v>43.1</v>
      </c>
      <c r="J13">
        <v>43.9</v>
      </c>
      <c r="K13">
        <v>44.7</v>
      </c>
      <c r="L13">
        <v>45.7</v>
      </c>
      <c r="M13">
        <v>46.5</v>
      </c>
      <c r="N13">
        <v>47.3</v>
      </c>
      <c r="O13">
        <v>48.1</v>
      </c>
    </row>
    <row r="14" spans="1:23" x14ac:dyDescent="0.15">
      <c r="A14">
        <v>1</v>
      </c>
      <c r="B14">
        <v>0</v>
      </c>
      <c r="C14">
        <f t="shared" si="0"/>
        <v>1</v>
      </c>
      <c r="D14">
        <v>46.1</v>
      </c>
      <c r="E14">
        <v>1.4</v>
      </c>
      <c r="G14" t="s">
        <v>95</v>
      </c>
      <c r="H14">
        <f t="shared" si="1"/>
        <v>0.95833333333333348</v>
      </c>
      <c r="I14">
        <v>43.4</v>
      </c>
      <c r="J14">
        <v>44.2</v>
      </c>
      <c r="K14">
        <v>45.1</v>
      </c>
      <c r="L14">
        <v>46</v>
      </c>
      <c r="M14">
        <v>46.9</v>
      </c>
      <c r="N14">
        <v>47.7</v>
      </c>
      <c r="O14">
        <v>48.5</v>
      </c>
    </row>
    <row r="15" spans="1:23" x14ac:dyDescent="0.15">
      <c r="A15">
        <v>1</v>
      </c>
      <c r="B15">
        <v>1</v>
      </c>
      <c r="C15">
        <f t="shared" si="0"/>
        <v>1.0833333333333333</v>
      </c>
      <c r="D15">
        <v>46.4</v>
      </c>
      <c r="E15">
        <v>1.5</v>
      </c>
      <c r="G15" t="s">
        <v>96</v>
      </c>
      <c r="H15">
        <f t="shared" si="1"/>
        <v>1.0416666666666667</v>
      </c>
      <c r="I15">
        <v>43.6</v>
      </c>
      <c r="J15">
        <v>44.5</v>
      </c>
      <c r="K15">
        <v>45.3</v>
      </c>
      <c r="L15">
        <v>46.2</v>
      </c>
      <c r="M15">
        <v>47.2</v>
      </c>
      <c r="N15">
        <v>48</v>
      </c>
      <c r="O15">
        <v>48.8</v>
      </c>
    </row>
    <row r="16" spans="1:23" x14ac:dyDescent="0.15">
      <c r="A16">
        <v>1</v>
      </c>
      <c r="B16">
        <v>2</v>
      </c>
      <c r="C16">
        <f t="shared" si="0"/>
        <v>1.1666666666666667</v>
      </c>
      <c r="D16">
        <v>46.6</v>
      </c>
      <c r="E16">
        <v>1.6</v>
      </c>
      <c r="G16" t="s">
        <v>97</v>
      </c>
      <c r="H16">
        <f t="shared" si="1"/>
        <v>1.125</v>
      </c>
      <c r="I16">
        <v>43.9</v>
      </c>
      <c r="J16">
        <v>44.7</v>
      </c>
      <c r="K16">
        <v>45.6</v>
      </c>
      <c r="L16">
        <v>46.5</v>
      </c>
      <c r="M16">
        <v>47.4</v>
      </c>
      <c r="N16">
        <v>48.3</v>
      </c>
      <c r="O16">
        <v>49.1</v>
      </c>
    </row>
    <row r="17" spans="1:15" x14ac:dyDescent="0.15">
      <c r="A17">
        <v>1</v>
      </c>
      <c r="B17">
        <v>3</v>
      </c>
      <c r="C17">
        <f t="shared" si="0"/>
        <v>1.25</v>
      </c>
      <c r="D17">
        <v>47</v>
      </c>
      <c r="E17">
        <v>1.6</v>
      </c>
      <c r="G17" t="s">
        <v>86</v>
      </c>
      <c r="H17">
        <f t="shared" si="1"/>
        <v>1.2083333333333333</v>
      </c>
      <c r="I17">
        <v>44.1</v>
      </c>
      <c r="J17">
        <v>44.9</v>
      </c>
      <c r="K17">
        <v>45.8</v>
      </c>
      <c r="L17">
        <v>46.7</v>
      </c>
      <c r="M17">
        <v>47.7</v>
      </c>
      <c r="N17">
        <v>48.5</v>
      </c>
      <c r="O17">
        <v>49.4</v>
      </c>
    </row>
    <row r="18" spans="1:15" x14ac:dyDescent="0.15">
      <c r="A18">
        <v>1</v>
      </c>
      <c r="B18">
        <v>4</v>
      </c>
      <c r="C18">
        <f t="shared" si="0"/>
        <v>1.3333333333333333</v>
      </c>
      <c r="D18">
        <v>47.1</v>
      </c>
      <c r="E18">
        <v>1.6</v>
      </c>
      <c r="G18" t="s">
        <v>87</v>
      </c>
      <c r="H18">
        <f t="shared" si="1"/>
        <v>1.2916666666666665</v>
      </c>
      <c r="I18">
        <v>44.3</v>
      </c>
      <c r="J18">
        <v>45.1</v>
      </c>
      <c r="K18">
        <v>46</v>
      </c>
      <c r="L18">
        <v>46.9</v>
      </c>
      <c r="M18">
        <v>47.9</v>
      </c>
      <c r="N18">
        <v>48.7</v>
      </c>
      <c r="O18">
        <v>49.6</v>
      </c>
    </row>
    <row r="19" spans="1:15" x14ac:dyDescent="0.15">
      <c r="A19">
        <v>1</v>
      </c>
      <c r="B19">
        <v>5</v>
      </c>
      <c r="C19">
        <f t="shared" si="0"/>
        <v>1.4166666666666667</v>
      </c>
      <c r="D19">
        <v>47.2</v>
      </c>
      <c r="E19">
        <v>1.6</v>
      </c>
      <c r="G19" t="s">
        <v>88</v>
      </c>
      <c r="H19">
        <f t="shared" si="1"/>
        <v>1.3749999999999998</v>
      </c>
      <c r="I19">
        <v>44.5</v>
      </c>
      <c r="J19">
        <v>45.4</v>
      </c>
      <c r="K19">
        <v>46.2</v>
      </c>
      <c r="L19">
        <v>47.2</v>
      </c>
      <c r="M19">
        <v>48.1</v>
      </c>
      <c r="N19">
        <v>49</v>
      </c>
      <c r="O19">
        <v>49.8</v>
      </c>
    </row>
    <row r="20" spans="1:15" x14ac:dyDescent="0.15">
      <c r="A20">
        <v>1</v>
      </c>
      <c r="B20">
        <v>6</v>
      </c>
      <c r="C20">
        <f t="shared" si="0"/>
        <v>1.5</v>
      </c>
      <c r="D20">
        <v>47.6</v>
      </c>
      <c r="E20">
        <v>1.5</v>
      </c>
      <c r="G20" t="s">
        <v>89</v>
      </c>
      <c r="H20">
        <f t="shared" si="1"/>
        <v>1.458333333333333</v>
      </c>
      <c r="I20">
        <v>44.7</v>
      </c>
      <c r="J20">
        <v>45.6</v>
      </c>
      <c r="K20">
        <v>46.4</v>
      </c>
      <c r="L20">
        <v>47.4</v>
      </c>
      <c r="M20">
        <v>48.3</v>
      </c>
      <c r="N20">
        <v>49.2</v>
      </c>
      <c r="O20">
        <v>50</v>
      </c>
    </row>
    <row r="21" spans="1:15" x14ac:dyDescent="0.15">
      <c r="A21">
        <v>1</v>
      </c>
      <c r="B21">
        <v>7</v>
      </c>
      <c r="C21">
        <f t="shared" si="0"/>
        <v>1.5833333333333335</v>
      </c>
      <c r="D21">
        <v>47.7</v>
      </c>
      <c r="E21">
        <v>1.5</v>
      </c>
      <c r="G21" t="s">
        <v>90</v>
      </c>
      <c r="H21">
        <f t="shared" si="1"/>
        <v>1.5416666666666663</v>
      </c>
      <c r="I21">
        <v>44.9</v>
      </c>
      <c r="J21">
        <v>45.7</v>
      </c>
      <c r="K21">
        <v>46.6</v>
      </c>
      <c r="L21">
        <v>47.5</v>
      </c>
      <c r="M21">
        <v>48.5</v>
      </c>
      <c r="N21">
        <v>49.4</v>
      </c>
      <c r="O21">
        <v>50.2</v>
      </c>
    </row>
    <row r="22" spans="1:15" x14ac:dyDescent="0.15">
      <c r="A22">
        <v>1</v>
      </c>
      <c r="B22">
        <v>8</v>
      </c>
      <c r="C22">
        <f t="shared" si="0"/>
        <v>1.6666666666666665</v>
      </c>
      <c r="D22">
        <v>47.9</v>
      </c>
      <c r="E22">
        <v>1.5</v>
      </c>
      <c r="G22" t="s">
        <v>91</v>
      </c>
      <c r="H22">
        <f t="shared" si="1"/>
        <v>1.6249999999999996</v>
      </c>
      <c r="I22">
        <v>45</v>
      </c>
      <c r="J22">
        <v>45.9</v>
      </c>
      <c r="K22">
        <v>46.8</v>
      </c>
      <c r="L22">
        <v>47.7</v>
      </c>
      <c r="M22">
        <v>48.7</v>
      </c>
      <c r="N22">
        <v>49.5</v>
      </c>
      <c r="O22">
        <v>50.4</v>
      </c>
    </row>
    <row r="23" spans="1:15" x14ac:dyDescent="0.15">
      <c r="A23">
        <v>1</v>
      </c>
      <c r="B23">
        <v>9</v>
      </c>
      <c r="C23">
        <f t="shared" si="0"/>
        <v>1.75</v>
      </c>
      <c r="D23">
        <v>48.1</v>
      </c>
      <c r="E23">
        <v>1.5</v>
      </c>
      <c r="G23" t="s">
        <v>92</v>
      </c>
      <c r="H23">
        <f t="shared" si="1"/>
        <v>1.7083333333333328</v>
      </c>
      <c r="I23">
        <v>45.2</v>
      </c>
      <c r="J23">
        <v>46</v>
      </c>
      <c r="K23">
        <v>46.9</v>
      </c>
      <c r="L23">
        <v>47.9</v>
      </c>
      <c r="M23">
        <v>48.8</v>
      </c>
      <c r="N23">
        <v>49.7</v>
      </c>
      <c r="O23">
        <v>50.5</v>
      </c>
    </row>
    <row r="24" spans="1:15" x14ac:dyDescent="0.15">
      <c r="A24">
        <v>1</v>
      </c>
      <c r="B24">
        <v>10</v>
      </c>
      <c r="C24">
        <f t="shared" si="0"/>
        <v>1.8333333333333335</v>
      </c>
      <c r="D24">
        <v>48.2</v>
      </c>
      <c r="E24">
        <v>1.5</v>
      </c>
      <c r="G24" t="s">
        <v>93</v>
      </c>
      <c r="H24">
        <f t="shared" si="1"/>
        <v>1.7916666666666661</v>
      </c>
      <c r="I24">
        <v>45.3</v>
      </c>
      <c r="J24">
        <v>46.2</v>
      </c>
      <c r="K24">
        <v>47</v>
      </c>
      <c r="L24">
        <v>48</v>
      </c>
      <c r="M24">
        <v>49</v>
      </c>
      <c r="N24">
        <v>49.8</v>
      </c>
      <c r="O24">
        <v>50.7</v>
      </c>
    </row>
    <row r="25" spans="1:15" x14ac:dyDescent="0.15">
      <c r="A25">
        <v>1</v>
      </c>
      <c r="B25">
        <v>11</v>
      </c>
      <c r="C25">
        <f t="shared" si="0"/>
        <v>1.9166666666666665</v>
      </c>
      <c r="D25">
        <v>48.2</v>
      </c>
      <c r="E25">
        <v>1.6</v>
      </c>
      <c r="G25" t="s">
        <v>94</v>
      </c>
      <c r="H25">
        <f t="shared" si="1"/>
        <v>1.8749999999999993</v>
      </c>
      <c r="I25">
        <v>45.4</v>
      </c>
      <c r="J25">
        <v>46.3</v>
      </c>
      <c r="K25">
        <v>47.2</v>
      </c>
      <c r="L25">
        <v>48.1</v>
      </c>
      <c r="M25">
        <v>49.1</v>
      </c>
      <c r="N25">
        <v>49.9</v>
      </c>
      <c r="O25">
        <v>50.8</v>
      </c>
    </row>
    <row r="26" spans="1:15" x14ac:dyDescent="0.15">
      <c r="A26">
        <v>2</v>
      </c>
      <c r="B26">
        <v>0</v>
      </c>
      <c r="C26">
        <f t="shared" si="0"/>
        <v>2</v>
      </c>
      <c r="D26">
        <v>48.3</v>
      </c>
      <c r="E26">
        <v>1.6</v>
      </c>
      <c r="G26" t="s">
        <v>95</v>
      </c>
      <c r="H26">
        <f t="shared" si="1"/>
        <v>1.9583333333333326</v>
      </c>
      <c r="I26">
        <v>45.6</v>
      </c>
      <c r="J26">
        <v>46.4</v>
      </c>
      <c r="K26">
        <v>47.3</v>
      </c>
      <c r="L26">
        <v>48.2</v>
      </c>
      <c r="M26">
        <v>49.2</v>
      </c>
      <c r="N26">
        <v>50.1</v>
      </c>
      <c r="O26">
        <v>50.9</v>
      </c>
    </row>
    <row r="27" spans="1:15" x14ac:dyDescent="0.15">
      <c r="A27">
        <v>2</v>
      </c>
      <c r="B27">
        <v>1</v>
      </c>
      <c r="C27">
        <f t="shared" si="0"/>
        <v>2.0833333333333335</v>
      </c>
      <c r="D27">
        <v>48.4</v>
      </c>
      <c r="E27">
        <v>1.7</v>
      </c>
      <c r="G27" t="s">
        <v>98</v>
      </c>
      <c r="H27">
        <f>2+3/12</f>
        <v>2.25</v>
      </c>
      <c r="I27">
        <v>46</v>
      </c>
      <c r="J27">
        <v>46.8</v>
      </c>
      <c r="K27">
        <v>47.6</v>
      </c>
      <c r="L27">
        <v>48.6</v>
      </c>
      <c r="M27">
        <v>49.5</v>
      </c>
      <c r="N27">
        <v>50.4</v>
      </c>
      <c r="O27">
        <v>51.2</v>
      </c>
    </row>
    <row r="28" spans="1:15" x14ac:dyDescent="0.15">
      <c r="A28">
        <v>2</v>
      </c>
      <c r="B28">
        <v>2</v>
      </c>
      <c r="C28">
        <f t="shared" si="0"/>
        <v>2.1666666666666665</v>
      </c>
      <c r="D28">
        <v>48.6</v>
      </c>
      <c r="E28">
        <v>1.7</v>
      </c>
      <c r="G28" t="s">
        <v>99</v>
      </c>
      <c r="H28">
        <f t="shared" ref="H28:H35" si="2">H27+0.5</f>
        <v>2.75</v>
      </c>
      <c r="I28">
        <v>46.5</v>
      </c>
      <c r="J28">
        <v>47.4</v>
      </c>
      <c r="K28">
        <v>48.2</v>
      </c>
      <c r="L28">
        <v>49.1</v>
      </c>
      <c r="M28">
        <v>50.1</v>
      </c>
      <c r="N28">
        <v>50.9</v>
      </c>
      <c r="O28">
        <v>51.7</v>
      </c>
    </row>
    <row r="29" spans="1:15" x14ac:dyDescent="0.15">
      <c r="A29">
        <v>2</v>
      </c>
      <c r="B29">
        <v>3</v>
      </c>
      <c r="C29">
        <f t="shared" si="0"/>
        <v>2.25</v>
      </c>
      <c r="D29">
        <v>48.7</v>
      </c>
      <c r="E29">
        <v>1.8</v>
      </c>
      <c r="G29" t="s">
        <v>100</v>
      </c>
      <c r="H29">
        <f t="shared" si="2"/>
        <v>3.25</v>
      </c>
      <c r="I29">
        <v>47</v>
      </c>
      <c r="J29">
        <v>47.8</v>
      </c>
      <c r="K29">
        <v>48.6</v>
      </c>
      <c r="L29">
        <v>49.6</v>
      </c>
      <c r="M29">
        <v>50.5</v>
      </c>
      <c r="N29">
        <v>51.4</v>
      </c>
      <c r="O29">
        <v>52.2</v>
      </c>
    </row>
    <row r="30" spans="1:15" x14ac:dyDescent="0.15">
      <c r="A30">
        <v>2</v>
      </c>
      <c r="B30">
        <v>4</v>
      </c>
      <c r="C30">
        <f t="shared" si="0"/>
        <v>2.3333333333333335</v>
      </c>
      <c r="D30">
        <v>48.8</v>
      </c>
      <c r="E30">
        <v>1.8</v>
      </c>
      <c r="G30" t="s">
        <v>99</v>
      </c>
      <c r="H30">
        <f t="shared" si="2"/>
        <v>3.75</v>
      </c>
      <c r="I30">
        <v>47.3</v>
      </c>
      <c r="J30">
        <v>48.2</v>
      </c>
      <c r="K30">
        <v>49</v>
      </c>
      <c r="L30">
        <v>50</v>
      </c>
      <c r="M30">
        <v>50.9</v>
      </c>
      <c r="N30">
        <v>51.8</v>
      </c>
      <c r="O30">
        <v>52.6</v>
      </c>
    </row>
    <row r="31" spans="1:15" x14ac:dyDescent="0.15">
      <c r="A31">
        <v>2</v>
      </c>
      <c r="B31">
        <v>5</v>
      </c>
      <c r="C31">
        <f t="shared" si="0"/>
        <v>2.4166666666666665</v>
      </c>
      <c r="D31">
        <v>48.9</v>
      </c>
      <c r="E31">
        <v>1.8</v>
      </c>
      <c r="G31" t="s">
        <v>101</v>
      </c>
      <c r="H31">
        <f t="shared" si="2"/>
        <v>4.25</v>
      </c>
      <c r="I31">
        <v>47.7</v>
      </c>
      <c r="J31">
        <v>48.5</v>
      </c>
      <c r="K31">
        <v>49.4</v>
      </c>
      <c r="L31">
        <v>50.4</v>
      </c>
      <c r="M31">
        <v>51.3</v>
      </c>
      <c r="N31">
        <v>52.2</v>
      </c>
      <c r="O31">
        <v>53</v>
      </c>
    </row>
    <row r="32" spans="1:15" x14ac:dyDescent="0.15">
      <c r="A32">
        <v>2</v>
      </c>
      <c r="B32">
        <v>6</v>
      </c>
      <c r="C32">
        <f t="shared" si="0"/>
        <v>2.5</v>
      </c>
      <c r="D32">
        <v>49</v>
      </c>
      <c r="E32">
        <v>1.7</v>
      </c>
      <c r="G32" t="s">
        <v>99</v>
      </c>
      <c r="H32">
        <f t="shared" si="2"/>
        <v>4.75</v>
      </c>
      <c r="I32">
        <v>48</v>
      </c>
      <c r="J32">
        <v>48.9</v>
      </c>
      <c r="K32">
        <v>49.7</v>
      </c>
      <c r="L32">
        <v>50.7</v>
      </c>
      <c r="M32">
        <v>51.7</v>
      </c>
      <c r="N32">
        <v>52.5</v>
      </c>
      <c r="O32">
        <v>53.4</v>
      </c>
    </row>
    <row r="33" spans="1:15" x14ac:dyDescent="0.15">
      <c r="A33">
        <v>2</v>
      </c>
      <c r="B33">
        <v>7</v>
      </c>
      <c r="C33">
        <f t="shared" si="0"/>
        <v>2.5833333333333335</v>
      </c>
      <c r="D33">
        <v>49</v>
      </c>
      <c r="E33">
        <v>1.7</v>
      </c>
      <c r="G33" t="s">
        <v>102</v>
      </c>
      <c r="H33">
        <f t="shared" si="2"/>
        <v>5.25</v>
      </c>
      <c r="I33">
        <v>48.3</v>
      </c>
      <c r="J33">
        <v>49.2</v>
      </c>
      <c r="K33">
        <v>50.1</v>
      </c>
      <c r="L33">
        <v>51</v>
      </c>
      <c r="M33">
        <v>52</v>
      </c>
      <c r="N33">
        <v>52.9</v>
      </c>
      <c r="O33">
        <v>53.8</v>
      </c>
    </row>
    <row r="34" spans="1:15" x14ac:dyDescent="0.15">
      <c r="A34">
        <v>2</v>
      </c>
      <c r="B34">
        <v>8</v>
      </c>
      <c r="C34">
        <f t="shared" si="0"/>
        <v>2.6666666666666665</v>
      </c>
      <c r="D34">
        <v>49.1</v>
      </c>
      <c r="E34">
        <v>1.7</v>
      </c>
      <c r="G34" t="s">
        <v>99</v>
      </c>
      <c r="H34">
        <f t="shared" si="2"/>
        <v>5.75</v>
      </c>
      <c r="I34">
        <v>48.6</v>
      </c>
      <c r="J34">
        <v>49.4</v>
      </c>
      <c r="K34">
        <v>50.3</v>
      </c>
      <c r="L34">
        <v>51.3</v>
      </c>
      <c r="M34">
        <v>52.3</v>
      </c>
      <c r="N34">
        <v>53.2</v>
      </c>
      <c r="O34">
        <v>54.1</v>
      </c>
    </row>
    <row r="35" spans="1:15" x14ac:dyDescent="0.15">
      <c r="A35">
        <v>2</v>
      </c>
      <c r="B35">
        <v>9</v>
      </c>
      <c r="C35">
        <f t="shared" si="0"/>
        <v>2.75</v>
      </c>
      <c r="D35">
        <v>49.2</v>
      </c>
      <c r="E35">
        <v>1.6</v>
      </c>
      <c r="G35" t="s">
        <v>103</v>
      </c>
      <c r="H35">
        <f t="shared" si="2"/>
        <v>6.25</v>
      </c>
      <c r="I35">
        <v>48.8</v>
      </c>
      <c r="J35">
        <v>49.7</v>
      </c>
      <c r="K35">
        <v>50.6</v>
      </c>
      <c r="L35">
        <v>51.6</v>
      </c>
      <c r="M35">
        <v>52.6</v>
      </c>
      <c r="N35">
        <v>53.5</v>
      </c>
      <c r="O35">
        <v>54.4</v>
      </c>
    </row>
    <row r="36" spans="1:15" x14ac:dyDescent="0.15">
      <c r="A36">
        <v>2</v>
      </c>
      <c r="B36">
        <v>10</v>
      </c>
      <c r="C36">
        <f t="shared" si="0"/>
        <v>2.8333333333333335</v>
      </c>
      <c r="D36">
        <v>49.3</v>
      </c>
      <c r="E36">
        <v>1.6</v>
      </c>
    </row>
    <row r="37" spans="1:15" x14ac:dyDescent="0.15">
      <c r="A37">
        <v>2</v>
      </c>
      <c r="B37">
        <v>11</v>
      </c>
      <c r="C37">
        <f t="shared" si="0"/>
        <v>2.9166666666666665</v>
      </c>
      <c r="D37">
        <v>49.4</v>
      </c>
      <c r="E37">
        <v>1.6</v>
      </c>
    </row>
    <row r="38" spans="1:15" x14ac:dyDescent="0.15">
      <c r="A38">
        <v>3</v>
      </c>
      <c r="B38">
        <v>0</v>
      </c>
      <c r="C38">
        <f t="shared" si="0"/>
        <v>3</v>
      </c>
      <c r="D38">
        <v>49.5</v>
      </c>
      <c r="E38">
        <v>1.6</v>
      </c>
    </row>
    <row r="39" spans="1:15" x14ac:dyDescent="0.15">
      <c r="A39">
        <v>3</v>
      </c>
      <c r="B39">
        <v>1</v>
      </c>
      <c r="C39">
        <f t="shared" si="0"/>
        <v>3.0833333333333335</v>
      </c>
      <c r="D39">
        <v>49.5</v>
      </c>
      <c r="E39">
        <v>1.5</v>
      </c>
    </row>
    <row r="40" spans="1:15" x14ac:dyDescent="0.15">
      <c r="A40">
        <v>3</v>
      </c>
      <c r="B40">
        <v>2</v>
      </c>
      <c r="C40">
        <f t="shared" si="0"/>
        <v>3.1666666666666665</v>
      </c>
      <c r="D40">
        <v>49.6</v>
      </c>
      <c r="E40">
        <v>1.5</v>
      </c>
    </row>
    <row r="41" spans="1:15" x14ac:dyDescent="0.15">
      <c r="A41">
        <v>3</v>
      </c>
      <c r="B41">
        <v>3</v>
      </c>
      <c r="C41">
        <f t="shared" si="0"/>
        <v>3.25</v>
      </c>
      <c r="D41">
        <v>49.7</v>
      </c>
      <c r="E41">
        <v>1.5</v>
      </c>
    </row>
    <row r="42" spans="1:15" x14ac:dyDescent="0.15">
      <c r="A42">
        <v>3</v>
      </c>
      <c r="B42">
        <v>4</v>
      </c>
      <c r="C42">
        <f t="shared" si="0"/>
        <v>3.3333333333333335</v>
      </c>
      <c r="D42">
        <v>49.8</v>
      </c>
      <c r="E42">
        <v>1.5</v>
      </c>
    </row>
    <row r="43" spans="1:15" x14ac:dyDescent="0.15">
      <c r="A43">
        <v>3</v>
      </c>
      <c r="B43">
        <v>5</v>
      </c>
      <c r="C43">
        <f t="shared" si="0"/>
        <v>3.4166666666666665</v>
      </c>
      <c r="D43">
        <v>49.8</v>
      </c>
      <c r="E43">
        <v>1.5</v>
      </c>
    </row>
    <row r="44" spans="1:15" x14ac:dyDescent="0.15">
      <c r="A44">
        <v>3</v>
      </c>
      <c r="B44">
        <v>6</v>
      </c>
      <c r="C44">
        <f t="shared" si="0"/>
        <v>3.5</v>
      </c>
      <c r="D44">
        <v>49.9</v>
      </c>
      <c r="E44">
        <v>1.5</v>
      </c>
    </row>
    <row r="45" spans="1:15" x14ac:dyDescent="0.15">
      <c r="A45">
        <v>3</v>
      </c>
      <c r="B45">
        <v>7</v>
      </c>
      <c r="C45">
        <f t="shared" si="0"/>
        <v>3.5833333333333335</v>
      </c>
      <c r="D45">
        <v>50</v>
      </c>
      <c r="E45">
        <v>1.5</v>
      </c>
    </row>
    <row r="46" spans="1:15" x14ac:dyDescent="0.15">
      <c r="A46">
        <v>3</v>
      </c>
      <c r="B46">
        <v>8</v>
      </c>
      <c r="C46">
        <f t="shared" si="0"/>
        <v>3.6666666666666665</v>
      </c>
      <c r="D46">
        <v>50</v>
      </c>
      <c r="E46">
        <v>1.5</v>
      </c>
    </row>
    <row r="47" spans="1:15" x14ac:dyDescent="0.15">
      <c r="A47">
        <v>3</v>
      </c>
      <c r="B47">
        <v>9</v>
      </c>
      <c r="C47">
        <f t="shared" si="0"/>
        <v>3.75</v>
      </c>
      <c r="D47">
        <v>50.1</v>
      </c>
      <c r="E47">
        <v>1.5</v>
      </c>
    </row>
    <row r="48" spans="1:15" x14ac:dyDescent="0.15">
      <c r="A48">
        <v>3</v>
      </c>
      <c r="B48">
        <v>10</v>
      </c>
      <c r="C48">
        <f t="shared" si="0"/>
        <v>3.8333333333333335</v>
      </c>
      <c r="D48">
        <v>50.2</v>
      </c>
      <c r="E48">
        <v>1.5</v>
      </c>
    </row>
    <row r="49" spans="1:5" x14ac:dyDescent="0.15">
      <c r="A49">
        <v>3</v>
      </c>
      <c r="B49">
        <v>11</v>
      </c>
      <c r="C49">
        <f t="shared" si="0"/>
        <v>3.9166666666666665</v>
      </c>
      <c r="D49">
        <v>50.2</v>
      </c>
      <c r="E49">
        <v>1.6</v>
      </c>
    </row>
    <row r="50" spans="1:5" x14ac:dyDescent="0.15">
      <c r="A50">
        <v>4</v>
      </c>
      <c r="B50">
        <v>0</v>
      </c>
      <c r="C50">
        <f t="shared" si="0"/>
        <v>4</v>
      </c>
      <c r="D50">
        <v>50.3</v>
      </c>
      <c r="E50">
        <v>1.6</v>
      </c>
    </row>
    <row r="51" spans="1:5" x14ac:dyDescent="0.15">
      <c r="A51">
        <v>4</v>
      </c>
      <c r="B51">
        <v>1</v>
      </c>
      <c r="C51">
        <f t="shared" si="0"/>
        <v>4.083333333333333</v>
      </c>
      <c r="D51">
        <v>50.3</v>
      </c>
      <c r="E51">
        <v>1.6</v>
      </c>
    </row>
    <row r="52" spans="1:5" x14ac:dyDescent="0.15">
      <c r="A52">
        <v>4</v>
      </c>
      <c r="B52">
        <v>2</v>
      </c>
      <c r="C52">
        <f t="shared" si="0"/>
        <v>4.166666666666667</v>
      </c>
      <c r="D52">
        <v>50.4</v>
      </c>
      <c r="E52">
        <v>1.7</v>
      </c>
    </row>
    <row r="53" spans="1:5" x14ac:dyDescent="0.15">
      <c r="A53">
        <v>4</v>
      </c>
      <c r="B53">
        <v>3</v>
      </c>
      <c r="C53">
        <f t="shared" si="0"/>
        <v>4.25</v>
      </c>
      <c r="D53">
        <v>50.4</v>
      </c>
      <c r="E53">
        <v>1.7</v>
      </c>
    </row>
    <row r="54" spans="1:5" x14ac:dyDescent="0.15">
      <c r="A54">
        <v>4</v>
      </c>
      <c r="B54">
        <v>4</v>
      </c>
      <c r="C54">
        <f t="shared" si="0"/>
        <v>4.333333333333333</v>
      </c>
      <c r="D54">
        <v>50.4</v>
      </c>
      <c r="E54">
        <v>1.7</v>
      </c>
    </row>
    <row r="55" spans="1:5" x14ac:dyDescent="0.15">
      <c r="A55">
        <v>4</v>
      </c>
      <c r="B55">
        <v>5</v>
      </c>
      <c r="C55">
        <f t="shared" si="0"/>
        <v>4.416666666666667</v>
      </c>
      <c r="D55">
        <v>50.5</v>
      </c>
      <c r="E55">
        <v>1.7</v>
      </c>
    </row>
    <row r="56" spans="1:5" x14ac:dyDescent="0.15">
      <c r="A56">
        <v>4</v>
      </c>
      <c r="B56">
        <v>6</v>
      </c>
      <c r="C56">
        <f t="shared" si="0"/>
        <v>4.5</v>
      </c>
      <c r="D56">
        <v>50.5</v>
      </c>
      <c r="E56">
        <v>1.7</v>
      </c>
    </row>
    <row r="57" spans="1:5" x14ac:dyDescent="0.15">
      <c r="A57">
        <v>4</v>
      </c>
      <c r="B57">
        <v>7</v>
      </c>
      <c r="C57">
        <f t="shared" si="0"/>
        <v>4.583333333333333</v>
      </c>
      <c r="D57">
        <v>50.5</v>
      </c>
      <c r="E57">
        <v>1.6</v>
      </c>
    </row>
    <row r="58" spans="1:5" x14ac:dyDescent="0.15">
      <c r="A58">
        <v>4</v>
      </c>
      <c r="B58">
        <v>8</v>
      </c>
      <c r="C58">
        <f t="shared" si="0"/>
        <v>4.666666666666667</v>
      </c>
      <c r="D58">
        <v>50.6</v>
      </c>
      <c r="E58">
        <v>1.6</v>
      </c>
    </row>
    <row r="59" spans="1:5" x14ac:dyDescent="0.15">
      <c r="A59">
        <v>4</v>
      </c>
      <c r="B59">
        <v>9</v>
      </c>
      <c r="C59">
        <f t="shared" si="0"/>
        <v>4.75</v>
      </c>
      <c r="D59">
        <v>50.6</v>
      </c>
      <c r="E59">
        <v>1.6</v>
      </c>
    </row>
    <row r="60" spans="1:5" x14ac:dyDescent="0.15">
      <c r="A60">
        <v>4</v>
      </c>
      <c r="B60">
        <v>10</v>
      </c>
      <c r="C60">
        <f t="shared" si="0"/>
        <v>4.833333333333333</v>
      </c>
      <c r="D60">
        <v>50.7</v>
      </c>
      <c r="E60">
        <v>1.6</v>
      </c>
    </row>
    <row r="61" spans="1:5" x14ac:dyDescent="0.15">
      <c r="A61">
        <v>4</v>
      </c>
      <c r="B61">
        <v>11</v>
      </c>
      <c r="C61">
        <f t="shared" si="0"/>
        <v>4.916666666666667</v>
      </c>
      <c r="D61">
        <v>50.7</v>
      </c>
      <c r="E61">
        <v>1.6</v>
      </c>
    </row>
    <row r="62" spans="1:5" x14ac:dyDescent="0.15">
      <c r="A62">
        <v>5</v>
      </c>
      <c r="B62">
        <v>0</v>
      </c>
      <c r="C62">
        <f t="shared" si="0"/>
        <v>5</v>
      </c>
      <c r="D62">
        <v>50.8</v>
      </c>
      <c r="E62">
        <v>1.6</v>
      </c>
    </row>
    <row r="63" spans="1:5" x14ac:dyDescent="0.15">
      <c r="A63">
        <v>5</v>
      </c>
      <c r="B63">
        <v>1</v>
      </c>
      <c r="C63">
        <f t="shared" si="0"/>
        <v>5.083333333333333</v>
      </c>
      <c r="D63">
        <v>50.9</v>
      </c>
      <c r="E63">
        <v>1.5</v>
      </c>
    </row>
    <row r="64" spans="1:5" x14ac:dyDescent="0.15">
      <c r="A64">
        <v>5</v>
      </c>
      <c r="B64">
        <v>2</v>
      </c>
      <c r="C64">
        <f t="shared" si="0"/>
        <v>5.166666666666667</v>
      </c>
      <c r="D64">
        <v>50.9</v>
      </c>
      <c r="E64">
        <v>1.5</v>
      </c>
    </row>
    <row r="65" spans="1:5" x14ac:dyDescent="0.15">
      <c r="A65">
        <v>5</v>
      </c>
      <c r="B65">
        <v>3</v>
      </c>
      <c r="C65">
        <f t="shared" si="0"/>
        <v>5.25</v>
      </c>
      <c r="D65">
        <v>51</v>
      </c>
      <c r="E65">
        <v>1.5</v>
      </c>
    </row>
    <row r="66" spans="1:5" x14ac:dyDescent="0.15">
      <c r="A66">
        <v>5</v>
      </c>
      <c r="B66">
        <v>4</v>
      </c>
      <c r="C66">
        <f t="shared" si="0"/>
        <v>5.333333333333333</v>
      </c>
      <c r="D66">
        <v>51.1</v>
      </c>
      <c r="E66">
        <v>1.6</v>
      </c>
    </row>
    <row r="67" spans="1:5" x14ac:dyDescent="0.15">
      <c r="A67">
        <v>5</v>
      </c>
      <c r="B67">
        <v>5</v>
      </c>
      <c r="C67">
        <f t="shared" ref="C67:C85" si="3">A67+B67/12</f>
        <v>5.416666666666667</v>
      </c>
      <c r="D67">
        <v>51.1</v>
      </c>
      <c r="E67">
        <v>1.6</v>
      </c>
    </row>
    <row r="68" spans="1:5" x14ac:dyDescent="0.15">
      <c r="A68">
        <v>5</v>
      </c>
      <c r="B68">
        <v>6</v>
      </c>
      <c r="C68">
        <f t="shared" si="3"/>
        <v>5.5</v>
      </c>
      <c r="D68">
        <v>51.2</v>
      </c>
      <c r="E68">
        <v>1.7</v>
      </c>
    </row>
    <row r="69" spans="1:5" x14ac:dyDescent="0.15">
      <c r="A69">
        <v>5</v>
      </c>
      <c r="B69">
        <v>7</v>
      </c>
      <c r="C69">
        <f t="shared" si="3"/>
        <v>5.583333333333333</v>
      </c>
      <c r="D69">
        <v>51.3</v>
      </c>
      <c r="E69">
        <v>1.8</v>
      </c>
    </row>
    <row r="70" spans="1:5" x14ac:dyDescent="0.15">
      <c r="A70">
        <v>5</v>
      </c>
      <c r="B70">
        <v>8</v>
      </c>
      <c r="C70">
        <f t="shared" si="3"/>
        <v>5.666666666666667</v>
      </c>
      <c r="D70">
        <v>51.3</v>
      </c>
      <c r="E70">
        <v>1.8</v>
      </c>
    </row>
    <row r="71" spans="1:5" x14ac:dyDescent="0.15">
      <c r="A71">
        <v>5</v>
      </c>
      <c r="B71">
        <v>9</v>
      </c>
      <c r="C71">
        <f t="shared" si="3"/>
        <v>5.75</v>
      </c>
      <c r="D71">
        <v>51.4</v>
      </c>
      <c r="E71">
        <v>1.9</v>
      </c>
    </row>
    <row r="72" spans="1:5" x14ac:dyDescent="0.15">
      <c r="A72">
        <v>5</v>
      </c>
      <c r="B72">
        <v>10</v>
      </c>
      <c r="C72">
        <f t="shared" si="3"/>
        <v>5.833333333333333</v>
      </c>
      <c r="D72">
        <v>51.4</v>
      </c>
      <c r="E72">
        <v>1.9</v>
      </c>
    </row>
    <row r="73" spans="1:5" x14ac:dyDescent="0.15">
      <c r="A73">
        <v>5</v>
      </c>
      <c r="B73">
        <v>11</v>
      </c>
      <c r="C73">
        <f t="shared" si="3"/>
        <v>5.916666666666667</v>
      </c>
      <c r="D73">
        <v>51.4</v>
      </c>
      <c r="E73">
        <v>1.8</v>
      </c>
    </row>
    <row r="74" spans="1:5" x14ac:dyDescent="0.15">
      <c r="A74">
        <v>6</v>
      </c>
      <c r="B74">
        <v>0</v>
      </c>
      <c r="C74">
        <f t="shared" si="3"/>
        <v>6</v>
      </c>
      <c r="D74">
        <v>51.5</v>
      </c>
      <c r="E74">
        <v>1.8</v>
      </c>
    </row>
    <row r="75" spans="1:5" x14ac:dyDescent="0.15">
      <c r="A75">
        <v>6</v>
      </c>
      <c r="B75">
        <v>1</v>
      </c>
      <c r="C75">
        <f t="shared" si="3"/>
        <v>6.083333333333333</v>
      </c>
      <c r="D75">
        <v>51.5</v>
      </c>
      <c r="E75">
        <v>1.8</v>
      </c>
    </row>
    <row r="76" spans="1:5" x14ac:dyDescent="0.15">
      <c r="A76">
        <v>6</v>
      </c>
      <c r="B76">
        <v>2</v>
      </c>
      <c r="C76">
        <f t="shared" si="3"/>
        <v>6.166666666666667</v>
      </c>
      <c r="D76">
        <v>51.5</v>
      </c>
      <c r="E76">
        <v>1.7</v>
      </c>
    </row>
    <row r="77" spans="1:5" x14ac:dyDescent="0.15">
      <c r="A77">
        <v>6</v>
      </c>
      <c r="B77">
        <v>3</v>
      </c>
      <c r="C77">
        <f t="shared" si="3"/>
        <v>6.25</v>
      </c>
      <c r="D77">
        <v>51.5</v>
      </c>
      <c r="E77">
        <v>1.7</v>
      </c>
    </row>
    <row r="78" spans="1:5" x14ac:dyDescent="0.15">
      <c r="A78">
        <v>6</v>
      </c>
      <c r="B78">
        <v>4</v>
      </c>
      <c r="C78">
        <f t="shared" si="3"/>
        <v>6.333333333333333</v>
      </c>
    </row>
    <row r="79" spans="1:5" x14ac:dyDescent="0.15">
      <c r="A79">
        <v>6</v>
      </c>
      <c r="B79">
        <v>5</v>
      </c>
      <c r="C79">
        <f t="shared" si="3"/>
        <v>6.416666666666667</v>
      </c>
    </row>
    <row r="80" spans="1:5" x14ac:dyDescent="0.15">
      <c r="A80">
        <v>6</v>
      </c>
      <c r="B80">
        <v>6</v>
      </c>
      <c r="C80">
        <f t="shared" si="3"/>
        <v>6.5</v>
      </c>
    </row>
    <row r="81" spans="1:3" x14ac:dyDescent="0.15">
      <c r="A81">
        <v>6</v>
      </c>
      <c r="B81">
        <v>7</v>
      </c>
      <c r="C81">
        <f t="shared" si="3"/>
        <v>6.583333333333333</v>
      </c>
    </row>
    <row r="82" spans="1:3" x14ac:dyDescent="0.15">
      <c r="A82">
        <v>6</v>
      </c>
      <c r="B82">
        <v>8</v>
      </c>
      <c r="C82">
        <f t="shared" si="3"/>
        <v>6.666666666666667</v>
      </c>
    </row>
    <row r="83" spans="1:3" x14ac:dyDescent="0.15">
      <c r="A83">
        <v>6</v>
      </c>
      <c r="B83">
        <v>9</v>
      </c>
      <c r="C83">
        <f t="shared" si="3"/>
        <v>6.75</v>
      </c>
    </row>
    <row r="84" spans="1:3" x14ac:dyDescent="0.15">
      <c r="A84">
        <v>6</v>
      </c>
      <c r="B84">
        <v>10</v>
      </c>
      <c r="C84">
        <f t="shared" si="3"/>
        <v>6.833333333333333</v>
      </c>
    </row>
    <row r="85" spans="1:3" x14ac:dyDescent="0.15">
      <c r="A85">
        <v>6</v>
      </c>
      <c r="B85">
        <v>11</v>
      </c>
      <c r="C85">
        <f t="shared" si="3"/>
        <v>6.916666666666667</v>
      </c>
    </row>
  </sheetData>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topLeftCell="D1" workbookViewId="0">
      <selection activeCell="T10" sqref="T10"/>
    </sheetView>
  </sheetViews>
  <sheetFormatPr baseColWidth="12" defaultColWidth="8.83203125" defaultRowHeight="14" x14ac:dyDescent="0.15"/>
  <sheetData>
    <row r="1" spans="1:23" ht="13.5" customHeight="1" x14ac:dyDescent="0.15">
      <c r="A1" t="s">
        <v>80</v>
      </c>
      <c r="B1" t="s">
        <v>82</v>
      </c>
      <c r="D1" t="s">
        <v>81</v>
      </c>
      <c r="E1" t="s">
        <v>160</v>
      </c>
      <c r="H1" t="s">
        <v>80</v>
      </c>
      <c r="I1">
        <v>3</v>
      </c>
      <c r="J1">
        <v>10</v>
      </c>
      <c r="K1">
        <v>25</v>
      </c>
      <c r="L1">
        <v>50</v>
      </c>
      <c r="M1">
        <v>75</v>
      </c>
      <c r="N1">
        <v>90</v>
      </c>
      <c r="O1">
        <v>97</v>
      </c>
      <c r="Q1" t="s">
        <v>106</v>
      </c>
      <c r="T1" t="s">
        <v>107</v>
      </c>
      <c r="U1" t="s">
        <v>108</v>
      </c>
      <c r="V1" t="s">
        <v>109</v>
      </c>
      <c r="W1">
        <v>1</v>
      </c>
    </row>
    <row r="2" spans="1:23" ht="13.5" customHeight="1" x14ac:dyDescent="0.15">
      <c r="A2">
        <v>0</v>
      </c>
      <c r="B2">
        <v>0</v>
      </c>
      <c r="C2">
        <f>A2+B2/12</f>
        <v>0</v>
      </c>
      <c r="D2">
        <v>32.9</v>
      </c>
      <c r="E2">
        <v>1.4</v>
      </c>
      <c r="G2" t="s">
        <v>83</v>
      </c>
      <c r="H2">
        <v>0</v>
      </c>
      <c r="I2">
        <v>30.4</v>
      </c>
      <c r="J2">
        <v>31.3</v>
      </c>
      <c r="K2">
        <v>32.200000000000003</v>
      </c>
      <c r="L2">
        <v>33</v>
      </c>
      <c r="M2">
        <v>33.799999999999997</v>
      </c>
      <c r="N2">
        <v>34.6</v>
      </c>
      <c r="O2">
        <v>35.299999999999997</v>
      </c>
      <c r="Q2" t="s">
        <v>38</v>
      </c>
      <c r="R2">
        <v>0</v>
      </c>
      <c r="S2">
        <v>2</v>
      </c>
      <c r="T2">
        <v>0.60315925299999995</v>
      </c>
      <c r="U2">
        <v>-2.6898935000000002</v>
      </c>
      <c r="V2">
        <v>2.0971690000000001</v>
      </c>
      <c r="W2">
        <v>3.1630250000000002</v>
      </c>
    </row>
    <row r="3" spans="1:23" x14ac:dyDescent="0.15">
      <c r="A3">
        <v>0</v>
      </c>
      <c r="B3">
        <v>1</v>
      </c>
      <c r="C3">
        <f t="shared" ref="C3:C66" si="0">A3+B3/12</f>
        <v>8.3333333333333329E-2</v>
      </c>
      <c r="D3">
        <v>35.799999999999997</v>
      </c>
      <c r="E3">
        <v>1.3</v>
      </c>
      <c r="G3" t="s">
        <v>84</v>
      </c>
      <c r="H3">
        <f>1/12</f>
        <v>8.3333333333333329E-2</v>
      </c>
      <c r="I3">
        <v>33.5</v>
      </c>
      <c r="J3">
        <v>34.4</v>
      </c>
      <c r="K3">
        <v>35.200000000000003</v>
      </c>
      <c r="L3">
        <v>36</v>
      </c>
      <c r="M3">
        <v>36.799999999999997</v>
      </c>
      <c r="N3">
        <v>37.6</v>
      </c>
      <c r="O3">
        <v>38.299999999999997</v>
      </c>
      <c r="R3">
        <v>2</v>
      </c>
      <c r="T3">
        <v>-0.16867135</v>
      </c>
      <c r="U3">
        <v>1.9410900600000001</v>
      </c>
      <c r="V3">
        <v>-7.1647999999999996</v>
      </c>
      <c r="W3">
        <v>9.3376699999999992</v>
      </c>
    </row>
    <row r="4" spans="1:23" x14ac:dyDescent="0.15">
      <c r="A4">
        <v>0</v>
      </c>
      <c r="B4">
        <v>2</v>
      </c>
      <c r="C4">
        <f t="shared" si="0"/>
        <v>0.16666666666666666</v>
      </c>
      <c r="D4">
        <v>38</v>
      </c>
      <c r="E4">
        <v>1.2</v>
      </c>
      <c r="G4" t="s">
        <v>85</v>
      </c>
      <c r="H4">
        <f>1.5/12</f>
        <v>0.125</v>
      </c>
      <c r="I4">
        <v>34.799999999999997</v>
      </c>
      <c r="J4">
        <v>35.6</v>
      </c>
      <c r="K4">
        <v>36.299999999999997</v>
      </c>
      <c r="L4">
        <v>37.1</v>
      </c>
      <c r="M4">
        <v>37.9</v>
      </c>
      <c r="N4">
        <v>38.700000000000003</v>
      </c>
      <c r="O4">
        <v>39.4</v>
      </c>
      <c r="Q4" t="s">
        <v>110</v>
      </c>
      <c r="R4">
        <v>0</v>
      </c>
      <c r="S4">
        <v>0.5</v>
      </c>
      <c r="T4">
        <v>37.882255319999999</v>
      </c>
      <c r="U4">
        <v>-60.200429999999997</v>
      </c>
      <c r="V4">
        <v>38.818800000000003</v>
      </c>
      <c r="W4">
        <v>33.061610000000002</v>
      </c>
    </row>
    <row r="5" spans="1:23" x14ac:dyDescent="0.15">
      <c r="A5">
        <v>0</v>
      </c>
      <c r="B5">
        <v>3</v>
      </c>
      <c r="C5">
        <f t="shared" si="0"/>
        <v>0.25</v>
      </c>
      <c r="D5">
        <v>39.5</v>
      </c>
      <c r="E5">
        <v>1.2</v>
      </c>
      <c r="G5" t="s">
        <v>86</v>
      </c>
      <c r="H5">
        <f>H4+1/12</f>
        <v>0.20833333333333331</v>
      </c>
      <c r="I5">
        <v>36.5</v>
      </c>
      <c r="J5">
        <v>37.200000000000003</v>
      </c>
      <c r="K5">
        <v>37.9</v>
      </c>
      <c r="L5">
        <v>38.799999999999997</v>
      </c>
      <c r="M5">
        <v>39.6</v>
      </c>
      <c r="N5">
        <v>40.299999999999997</v>
      </c>
      <c r="O5">
        <v>41.1</v>
      </c>
      <c r="R5">
        <v>0.5</v>
      </c>
      <c r="S5">
        <v>1</v>
      </c>
      <c r="T5">
        <v>0.55107402000000005</v>
      </c>
      <c r="U5">
        <v>-4.2036575999999997</v>
      </c>
      <c r="V5">
        <v>10.82042</v>
      </c>
      <c r="W5">
        <v>37.728009999999998</v>
      </c>
    </row>
    <row r="6" spans="1:23" x14ac:dyDescent="0.15">
      <c r="A6">
        <v>0</v>
      </c>
      <c r="B6">
        <v>4</v>
      </c>
      <c r="C6">
        <f t="shared" si="0"/>
        <v>0.33333333333333331</v>
      </c>
      <c r="D6">
        <v>40.6</v>
      </c>
      <c r="E6">
        <v>1.4</v>
      </c>
      <c r="G6" t="s">
        <v>87</v>
      </c>
      <c r="H6">
        <f t="shared" ref="H6:H26" si="1">H5+1/12</f>
        <v>0.29166666666666663</v>
      </c>
      <c r="I6">
        <v>37.799999999999997</v>
      </c>
      <c r="J6">
        <v>38.5</v>
      </c>
      <c r="K6">
        <v>39.299999999999997</v>
      </c>
      <c r="L6">
        <v>40.1</v>
      </c>
      <c r="M6">
        <v>40.9</v>
      </c>
      <c r="N6">
        <v>41.6</v>
      </c>
      <c r="O6">
        <v>42.4</v>
      </c>
      <c r="R6">
        <v>1</v>
      </c>
      <c r="S6">
        <v>2</v>
      </c>
      <c r="T6">
        <v>0.79973359600000005</v>
      </c>
      <c r="U6">
        <v>-4.9496362999999999</v>
      </c>
      <c r="V6">
        <v>11.5664</v>
      </c>
      <c r="W6">
        <v>37.479349999999997</v>
      </c>
    </row>
    <row r="7" spans="1:23" x14ac:dyDescent="0.15">
      <c r="A7">
        <v>0</v>
      </c>
      <c r="B7">
        <v>5</v>
      </c>
      <c r="C7">
        <f t="shared" si="0"/>
        <v>0.41666666666666669</v>
      </c>
      <c r="D7">
        <v>41.3</v>
      </c>
      <c r="E7">
        <v>1.4</v>
      </c>
      <c r="G7" t="s">
        <v>88</v>
      </c>
      <c r="H7">
        <f t="shared" si="1"/>
        <v>0.37499999999999994</v>
      </c>
      <c r="I7">
        <v>38.799999999999997</v>
      </c>
      <c r="J7">
        <v>39.5</v>
      </c>
      <c r="K7">
        <v>40.299999999999997</v>
      </c>
      <c r="L7">
        <v>41.1</v>
      </c>
      <c r="M7">
        <v>41.9</v>
      </c>
      <c r="N7">
        <v>42.6</v>
      </c>
      <c r="O7">
        <v>43.4</v>
      </c>
      <c r="R7">
        <v>2</v>
      </c>
      <c r="S7">
        <v>4</v>
      </c>
      <c r="T7">
        <v>1.1513654E-2</v>
      </c>
      <c r="U7">
        <v>-0.2203167</v>
      </c>
      <c r="V7">
        <v>2.107758</v>
      </c>
      <c r="W7">
        <v>43.785110000000003</v>
      </c>
    </row>
    <row r="8" spans="1:23" x14ac:dyDescent="0.15">
      <c r="A8">
        <v>0</v>
      </c>
      <c r="B8">
        <v>6</v>
      </c>
      <c r="C8">
        <f t="shared" si="0"/>
        <v>0.5</v>
      </c>
      <c r="D8">
        <v>42.2</v>
      </c>
      <c r="E8">
        <v>1.3</v>
      </c>
      <c r="G8" t="s">
        <v>89</v>
      </c>
      <c r="H8">
        <f t="shared" si="1"/>
        <v>0.45833333333333326</v>
      </c>
      <c r="I8">
        <v>39.6</v>
      </c>
      <c r="J8">
        <v>40.299999999999997</v>
      </c>
      <c r="K8">
        <v>41.1</v>
      </c>
      <c r="L8">
        <v>41.9</v>
      </c>
      <c r="M8">
        <v>42.7</v>
      </c>
      <c r="N8">
        <v>43.5</v>
      </c>
      <c r="O8">
        <v>44.2</v>
      </c>
      <c r="R8">
        <v>4</v>
      </c>
      <c r="T8">
        <v>-1.249657E-2</v>
      </c>
      <c r="U8">
        <v>6.780601E-2</v>
      </c>
      <c r="V8">
        <v>0.95526699999999998</v>
      </c>
      <c r="W8">
        <v>45.321767000000001</v>
      </c>
    </row>
    <row r="9" spans="1:23" x14ac:dyDescent="0.15">
      <c r="A9">
        <v>0</v>
      </c>
      <c r="B9">
        <v>7</v>
      </c>
      <c r="C9">
        <f t="shared" si="0"/>
        <v>0.58333333333333337</v>
      </c>
      <c r="D9">
        <v>43.1</v>
      </c>
      <c r="E9">
        <v>1.7</v>
      </c>
      <c r="G9" t="s">
        <v>90</v>
      </c>
      <c r="H9">
        <f t="shared" si="1"/>
        <v>0.54166666666666663</v>
      </c>
      <c r="I9">
        <v>40.299999999999997</v>
      </c>
      <c r="J9">
        <v>41</v>
      </c>
      <c r="K9">
        <v>41.8</v>
      </c>
      <c r="L9">
        <v>42.6</v>
      </c>
      <c r="M9">
        <v>43.4</v>
      </c>
      <c r="N9">
        <v>44.2</v>
      </c>
      <c r="O9">
        <v>44.9</v>
      </c>
      <c r="Q9" t="s">
        <v>111</v>
      </c>
      <c r="R9">
        <v>0</v>
      </c>
      <c r="S9">
        <v>1</v>
      </c>
      <c r="T9">
        <v>-1.140595E-2</v>
      </c>
      <c r="U9">
        <v>3.3782600000000003E-2</v>
      </c>
      <c r="V9">
        <v>-3.2570000000000002E-2</v>
      </c>
      <c r="W9">
        <v>3.9349000000000002E-2</v>
      </c>
    </row>
    <row r="10" spans="1:23" x14ac:dyDescent="0.15">
      <c r="A10">
        <v>0</v>
      </c>
      <c r="B10">
        <v>8</v>
      </c>
      <c r="C10">
        <f t="shared" si="0"/>
        <v>0.66666666666666663</v>
      </c>
      <c r="D10">
        <v>43.5</v>
      </c>
      <c r="E10">
        <v>1.8</v>
      </c>
      <c r="G10" t="s">
        <v>91</v>
      </c>
      <c r="H10">
        <f t="shared" si="1"/>
        <v>0.625</v>
      </c>
      <c r="I10">
        <v>40.799999999999997</v>
      </c>
      <c r="J10">
        <v>41.5</v>
      </c>
      <c r="K10">
        <v>42.3</v>
      </c>
      <c r="L10">
        <v>43.1</v>
      </c>
      <c r="M10">
        <v>44</v>
      </c>
      <c r="N10">
        <v>44.7</v>
      </c>
      <c r="O10">
        <v>45.4</v>
      </c>
      <c r="R10">
        <v>1</v>
      </c>
      <c r="T10">
        <v>-2.28119E-2</v>
      </c>
      <c r="U10">
        <v>6.7565189999999997E-2</v>
      </c>
      <c r="V10">
        <v>-6.515E-2</v>
      </c>
      <c r="W10">
        <v>7.8697000000000003E-2</v>
      </c>
    </row>
    <row r="11" spans="1:23" x14ac:dyDescent="0.15">
      <c r="A11">
        <v>0</v>
      </c>
      <c r="B11">
        <v>9</v>
      </c>
      <c r="C11">
        <f t="shared" si="0"/>
        <v>0.75</v>
      </c>
      <c r="D11">
        <v>43.9</v>
      </c>
      <c r="E11">
        <v>1.5</v>
      </c>
      <c r="G11" t="s">
        <v>92</v>
      </c>
      <c r="H11">
        <f t="shared" si="1"/>
        <v>0.70833333333333337</v>
      </c>
      <c r="I11">
        <v>41.3</v>
      </c>
      <c r="J11">
        <v>42</v>
      </c>
      <c r="K11">
        <v>42.8</v>
      </c>
      <c r="L11">
        <v>43.6</v>
      </c>
      <c r="M11">
        <v>44.5</v>
      </c>
      <c r="N11">
        <v>45.2</v>
      </c>
      <c r="O11">
        <v>46</v>
      </c>
    </row>
    <row r="12" spans="1:23" x14ac:dyDescent="0.15">
      <c r="A12">
        <v>0</v>
      </c>
      <c r="B12">
        <v>10</v>
      </c>
      <c r="C12">
        <f t="shared" si="0"/>
        <v>0.83333333333333337</v>
      </c>
      <c r="D12">
        <v>44.4</v>
      </c>
      <c r="E12">
        <v>1.5</v>
      </c>
      <c r="G12" t="s">
        <v>93</v>
      </c>
      <c r="H12">
        <f t="shared" si="1"/>
        <v>0.79166666666666674</v>
      </c>
      <c r="I12">
        <v>41.6</v>
      </c>
      <c r="J12">
        <v>42.4</v>
      </c>
      <c r="K12">
        <v>43.1</v>
      </c>
      <c r="L12">
        <v>44</v>
      </c>
      <c r="M12">
        <v>44.9</v>
      </c>
      <c r="N12">
        <v>45.7</v>
      </c>
      <c r="O12">
        <v>46.4</v>
      </c>
    </row>
    <row r="13" spans="1:23" x14ac:dyDescent="0.15">
      <c r="A13">
        <v>0</v>
      </c>
      <c r="B13">
        <v>11</v>
      </c>
      <c r="C13">
        <f t="shared" si="0"/>
        <v>0.91666666666666663</v>
      </c>
      <c r="D13">
        <v>44.6</v>
      </c>
      <c r="E13">
        <v>1.6</v>
      </c>
      <c r="G13" t="s">
        <v>94</v>
      </c>
      <c r="H13">
        <f t="shared" si="1"/>
        <v>0.87500000000000011</v>
      </c>
      <c r="I13">
        <v>41.9</v>
      </c>
      <c r="J13">
        <v>42.7</v>
      </c>
      <c r="K13">
        <v>43.5</v>
      </c>
      <c r="L13">
        <v>44.4</v>
      </c>
      <c r="M13">
        <v>45.3</v>
      </c>
      <c r="N13">
        <v>46.1</v>
      </c>
      <c r="O13">
        <v>46.9</v>
      </c>
    </row>
    <row r="14" spans="1:23" x14ac:dyDescent="0.15">
      <c r="A14">
        <v>1</v>
      </c>
      <c r="B14">
        <v>0</v>
      </c>
      <c r="C14">
        <f t="shared" si="0"/>
        <v>1</v>
      </c>
      <c r="D14">
        <v>44.9</v>
      </c>
      <c r="E14">
        <v>1.7</v>
      </c>
      <c r="G14" t="s">
        <v>95</v>
      </c>
      <c r="H14">
        <f t="shared" si="1"/>
        <v>0.95833333333333348</v>
      </c>
      <c r="I14">
        <v>42.2</v>
      </c>
      <c r="J14">
        <v>43</v>
      </c>
      <c r="K14">
        <v>43.8</v>
      </c>
      <c r="L14">
        <v>44.7</v>
      </c>
      <c r="M14">
        <v>45.6</v>
      </c>
      <c r="N14">
        <v>46.5</v>
      </c>
      <c r="O14">
        <v>47.3</v>
      </c>
    </row>
    <row r="15" spans="1:23" x14ac:dyDescent="0.15">
      <c r="A15">
        <v>1</v>
      </c>
      <c r="B15">
        <v>1</v>
      </c>
      <c r="C15">
        <f t="shared" si="0"/>
        <v>1.0833333333333333</v>
      </c>
      <c r="D15">
        <v>45.3</v>
      </c>
      <c r="E15">
        <v>1.6</v>
      </c>
      <c r="G15" t="s">
        <v>96</v>
      </c>
      <c r="H15">
        <f t="shared" si="1"/>
        <v>1.0416666666666667</v>
      </c>
      <c r="I15">
        <v>42.5</v>
      </c>
      <c r="J15">
        <v>43.3</v>
      </c>
      <c r="K15">
        <v>44.1</v>
      </c>
      <c r="L15">
        <v>45</v>
      </c>
      <c r="M15">
        <v>46</v>
      </c>
      <c r="N15">
        <v>46.9</v>
      </c>
      <c r="O15">
        <v>47.7</v>
      </c>
    </row>
    <row r="16" spans="1:23" x14ac:dyDescent="0.15">
      <c r="A16">
        <v>1</v>
      </c>
      <c r="B16">
        <v>2</v>
      </c>
      <c r="C16">
        <f t="shared" si="0"/>
        <v>1.1666666666666667</v>
      </c>
      <c r="D16">
        <v>45.5</v>
      </c>
      <c r="E16">
        <v>1.4</v>
      </c>
      <c r="G16" t="s">
        <v>97</v>
      </c>
      <c r="H16">
        <f t="shared" si="1"/>
        <v>1.125</v>
      </c>
      <c r="I16">
        <v>42.8</v>
      </c>
      <c r="J16">
        <v>43.6</v>
      </c>
      <c r="K16">
        <v>44.5</v>
      </c>
      <c r="L16">
        <v>45.4</v>
      </c>
      <c r="M16">
        <v>46.4</v>
      </c>
      <c r="N16">
        <v>47.2</v>
      </c>
      <c r="O16">
        <v>48.1</v>
      </c>
    </row>
    <row r="17" spans="1:15" x14ac:dyDescent="0.15">
      <c r="A17">
        <v>1</v>
      </c>
      <c r="B17">
        <v>3</v>
      </c>
      <c r="C17">
        <f t="shared" si="0"/>
        <v>1.25</v>
      </c>
      <c r="D17">
        <v>45.7</v>
      </c>
      <c r="E17">
        <v>1.5</v>
      </c>
      <c r="G17" t="s">
        <v>86</v>
      </c>
      <c r="H17">
        <f t="shared" si="1"/>
        <v>1.2083333333333333</v>
      </c>
      <c r="I17">
        <v>43.1</v>
      </c>
      <c r="J17">
        <v>43.9</v>
      </c>
      <c r="K17">
        <v>44.7</v>
      </c>
      <c r="L17">
        <v>45.7</v>
      </c>
      <c r="M17">
        <v>46.6</v>
      </c>
      <c r="N17">
        <v>47.5</v>
      </c>
      <c r="O17">
        <v>48.4</v>
      </c>
    </row>
    <row r="18" spans="1:15" x14ac:dyDescent="0.15">
      <c r="A18">
        <v>1</v>
      </c>
      <c r="B18">
        <v>4</v>
      </c>
      <c r="C18">
        <f t="shared" si="0"/>
        <v>1.3333333333333333</v>
      </c>
      <c r="D18">
        <v>46.1</v>
      </c>
      <c r="E18">
        <v>1.4</v>
      </c>
      <c r="G18" t="s">
        <v>87</v>
      </c>
      <c r="H18">
        <f t="shared" si="1"/>
        <v>1.2916666666666665</v>
      </c>
      <c r="I18">
        <v>43.3</v>
      </c>
      <c r="J18">
        <v>44.1</v>
      </c>
      <c r="K18">
        <v>44.9</v>
      </c>
      <c r="L18">
        <v>45.9</v>
      </c>
      <c r="M18">
        <v>46.9</v>
      </c>
      <c r="N18">
        <v>47.8</v>
      </c>
      <c r="O18">
        <v>48.6</v>
      </c>
    </row>
    <row r="19" spans="1:15" x14ac:dyDescent="0.15">
      <c r="A19">
        <v>1</v>
      </c>
      <c r="B19">
        <v>5</v>
      </c>
      <c r="C19">
        <f t="shared" si="0"/>
        <v>1.4166666666666667</v>
      </c>
      <c r="D19">
        <v>46.3</v>
      </c>
      <c r="E19">
        <v>1.3</v>
      </c>
      <c r="G19" t="s">
        <v>88</v>
      </c>
      <c r="H19">
        <f t="shared" si="1"/>
        <v>1.3749999999999998</v>
      </c>
      <c r="I19">
        <v>43.5</v>
      </c>
      <c r="J19">
        <v>44.3</v>
      </c>
      <c r="K19">
        <v>45.2</v>
      </c>
      <c r="L19">
        <v>46.2</v>
      </c>
      <c r="M19">
        <v>47.1</v>
      </c>
      <c r="N19">
        <v>48</v>
      </c>
      <c r="O19">
        <v>48.9</v>
      </c>
    </row>
    <row r="20" spans="1:15" x14ac:dyDescent="0.15">
      <c r="A20">
        <v>1</v>
      </c>
      <c r="B20">
        <v>6</v>
      </c>
      <c r="C20">
        <f t="shared" si="0"/>
        <v>1.5</v>
      </c>
      <c r="D20">
        <v>46.5</v>
      </c>
      <c r="E20">
        <v>1.5</v>
      </c>
      <c r="G20" t="s">
        <v>89</v>
      </c>
      <c r="H20">
        <f t="shared" si="1"/>
        <v>1.458333333333333</v>
      </c>
      <c r="I20">
        <v>43.6</v>
      </c>
      <c r="J20">
        <v>44.5</v>
      </c>
      <c r="K20">
        <v>45.4</v>
      </c>
      <c r="L20">
        <v>46.4</v>
      </c>
      <c r="M20">
        <v>47.3</v>
      </c>
      <c r="N20">
        <v>48.2</v>
      </c>
      <c r="O20">
        <v>49.1</v>
      </c>
    </row>
    <row r="21" spans="1:15" x14ac:dyDescent="0.15">
      <c r="A21">
        <v>1</v>
      </c>
      <c r="B21">
        <v>7</v>
      </c>
      <c r="C21">
        <f t="shared" si="0"/>
        <v>1.5833333333333335</v>
      </c>
      <c r="D21">
        <v>46.7</v>
      </c>
      <c r="E21">
        <v>1.5</v>
      </c>
      <c r="G21" t="s">
        <v>90</v>
      </c>
      <c r="H21">
        <f t="shared" si="1"/>
        <v>1.5416666666666663</v>
      </c>
      <c r="I21">
        <v>43.8</v>
      </c>
      <c r="J21">
        <v>44.7</v>
      </c>
      <c r="K21">
        <v>45.6</v>
      </c>
      <c r="L21">
        <v>46.5</v>
      </c>
      <c r="M21">
        <v>47.5</v>
      </c>
      <c r="N21">
        <v>48.4</v>
      </c>
      <c r="O21">
        <v>49.3</v>
      </c>
    </row>
    <row r="22" spans="1:15" x14ac:dyDescent="0.15">
      <c r="A22">
        <v>1</v>
      </c>
      <c r="B22">
        <v>8</v>
      </c>
      <c r="C22">
        <f t="shared" si="0"/>
        <v>1.6666666666666665</v>
      </c>
      <c r="D22">
        <v>46.7</v>
      </c>
      <c r="E22">
        <v>1.5</v>
      </c>
      <c r="G22" t="s">
        <v>91</v>
      </c>
      <c r="H22">
        <f t="shared" si="1"/>
        <v>1.6249999999999996</v>
      </c>
      <c r="I22">
        <v>43.9</v>
      </c>
      <c r="J22">
        <v>44.8</v>
      </c>
      <c r="K22">
        <v>45.7</v>
      </c>
      <c r="L22">
        <v>46.7</v>
      </c>
      <c r="M22">
        <v>47.7</v>
      </c>
      <c r="N22">
        <v>48.6</v>
      </c>
      <c r="O22">
        <v>49.4</v>
      </c>
    </row>
    <row r="23" spans="1:15" x14ac:dyDescent="0.15">
      <c r="A23">
        <v>1</v>
      </c>
      <c r="B23">
        <v>9</v>
      </c>
      <c r="C23">
        <f t="shared" si="0"/>
        <v>1.75</v>
      </c>
      <c r="D23">
        <v>46.9</v>
      </c>
      <c r="E23">
        <v>1.5</v>
      </c>
      <c r="G23" t="s">
        <v>92</v>
      </c>
      <c r="H23">
        <f t="shared" si="1"/>
        <v>1.7083333333333328</v>
      </c>
      <c r="I23">
        <v>44.1</v>
      </c>
      <c r="J23">
        <v>45</v>
      </c>
      <c r="K23">
        <v>45.9</v>
      </c>
      <c r="L23">
        <v>46.8</v>
      </c>
      <c r="M23">
        <v>47.8</v>
      </c>
      <c r="N23">
        <v>48.7</v>
      </c>
      <c r="O23">
        <v>49.6</v>
      </c>
    </row>
    <row r="24" spans="1:15" x14ac:dyDescent="0.15">
      <c r="A24">
        <v>1</v>
      </c>
      <c r="B24">
        <v>10</v>
      </c>
      <c r="C24">
        <f t="shared" si="0"/>
        <v>1.8333333333333335</v>
      </c>
      <c r="D24">
        <v>47</v>
      </c>
      <c r="E24">
        <v>1.4</v>
      </c>
      <c r="G24" t="s">
        <v>93</v>
      </c>
      <c r="H24">
        <f t="shared" si="1"/>
        <v>1.7916666666666661</v>
      </c>
      <c r="I24">
        <v>44.3</v>
      </c>
      <c r="J24">
        <v>45.1</v>
      </c>
      <c r="K24">
        <v>46</v>
      </c>
      <c r="L24">
        <v>47</v>
      </c>
      <c r="M24">
        <v>48</v>
      </c>
      <c r="N24">
        <v>48.8</v>
      </c>
      <c r="O24">
        <v>49.7</v>
      </c>
    </row>
    <row r="25" spans="1:15" x14ac:dyDescent="0.15">
      <c r="A25">
        <v>1</v>
      </c>
      <c r="B25">
        <v>11</v>
      </c>
      <c r="C25">
        <f t="shared" si="0"/>
        <v>1.9166666666666665</v>
      </c>
      <c r="D25">
        <v>47.2</v>
      </c>
      <c r="E25">
        <v>1.5</v>
      </c>
      <c r="G25" t="s">
        <v>94</v>
      </c>
      <c r="H25">
        <f t="shared" si="1"/>
        <v>1.8749999999999993</v>
      </c>
      <c r="I25">
        <v>44.4</v>
      </c>
      <c r="J25">
        <v>45.3</v>
      </c>
      <c r="K25">
        <v>46.1</v>
      </c>
      <c r="L25">
        <v>47.1</v>
      </c>
      <c r="M25">
        <v>48.1</v>
      </c>
      <c r="N25">
        <v>49</v>
      </c>
      <c r="O25">
        <v>49.9</v>
      </c>
    </row>
    <row r="26" spans="1:15" x14ac:dyDescent="0.15">
      <c r="A26">
        <v>2</v>
      </c>
      <c r="B26">
        <v>0</v>
      </c>
      <c r="C26">
        <f t="shared" si="0"/>
        <v>2</v>
      </c>
      <c r="D26">
        <v>47.3</v>
      </c>
      <c r="E26">
        <v>1.4</v>
      </c>
      <c r="G26" t="s">
        <v>95</v>
      </c>
      <c r="H26">
        <f t="shared" si="1"/>
        <v>1.9583333333333326</v>
      </c>
      <c r="I26">
        <v>44.5</v>
      </c>
      <c r="J26">
        <v>45.4</v>
      </c>
      <c r="K26">
        <v>46.2</v>
      </c>
      <c r="L26">
        <v>47.2</v>
      </c>
      <c r="M26">
        <v>48.2</v>
      </c>
      <c r="N26">
        <v>49.1</v>
      </c>
      <c r="O26">
        <v>50</v>
      </c>
    </row>
    <row r="27" spans="1:15" x14ac:dyDescent="0.15">
      <c r="A27">
        <v>2</v>
      </c>
      <c r="B27">
        <v>1</v>
      </c>
      <c r="C27">
        <f t="shared" si="0"/>
        <v>2.0833333333333335</v>
      </c>
      <c r="D27">
        <v>47.4</v>
      </c>
      <c r="E27">
        <v>1.5</v>
      </c>
      <c r="G27" t="s">
        <v>98</v>
      </c>
      <c r="H27">
        <f>2+3/12</f>
        <v>2.25</v>
      </c>
      <c r="I27">
        <v>45</v>
      </c>
      <c r="J27">
        <v>45.8</v>
      </c>
      <c r="K27">
        <v>46.6</v>
      </c>
      <c r="L27">
        <v>47.5</v>
      </c>
      <c r="M27">
        <v>48.6</v>
      </c>
      <c r="N27">
        <v>49.5</v>
      </c>
      <c r="O27">
        <v>50.3</v>
      </c>
    </row>
    <row r="28" spans="1:15" x14ac:dyDescent="0.15">
      <c r="A28">
        <v>2</v>
      </c>
      <c r="B28">
        <v>2</v>
      </c>
      <c r="C28">
        <f t="shared" si="0"/>
        <v>2.1666666666666665</v>
      </c>
      <c r="D28">
        <v>47.5</v>
      </c>
      <c r="E28">
        <v>1.6</v>
      </c>
      <c r="G28" t="s">
        <v>99</v>
      </c>
      <c r="H28">
        <f t="shared" ref="H28:H35" si="2">H27+0.5</f>
        <v>2.75</v>
      </c>
      <c r="I28">
        <v>45.6</v>
      </c>
      <c r="J28">
        <v>46.4</v>
      </c>
      <c r="K28">
        <v>47.2</v>
      </c>
      <c r="L28">
        <v>48.1</v>
      </c>
      <c r="M28">
        <v>49.1</v>
      </c>
      <c r="N28">
        <v>50</v>
      </c>
      <c r="O28">
        <v>50.9</v>
      </c>
    </row>
    <row r="29" spans="1:15" x14ac:dyDescent="0.15">
      <c r="A29">
        <v>2</v>
      </c>
      <c r="B29">
        <v>3</v>
      </c>
      <c r="C29">
        <f t="shared" si="0"/>
        <v>2.25</v>
      </c>
      <c r="D29">
        <v>47.6</v>
      </c>
      <c r="E29">
        <v>1.7</v>
      </c>
      <c r="G29" t="s">
        <v>100</v>
      </c>
      <c r="H29">
        <f t="shared" si="2"/>
        <v>3.25</v>
      </c>
      <c r="I29">
        <v>46.1</v>
      </c>
      <c r="J29">
        <v>46.9</v>
      </c>
      <c r="K29">
        <v>47.8</v>
      </c>
      <c r="L29">
        <v>48.6</v>
      </c>
      <c r="M29">
        <v>49.7</v>
      </c>
      <c r="N29">
        <v>50.6</v>
      </c>
      <c r="O29">
        <v>51.5</v>
      </c>
    </row>
    <row r="30" spans="1:15" x14ac:dyDescent="0.15">
      <c r="A30">
        <v>2</v>
      </c>
      <c r="B30">
        <v>4</v>
      </c>
      <c r="C30">
        <f t="shared" si="0"/>
        <v>2.3333333333333335</v>
      </c>
      <c r="D30">
        <v>47.7</v>
      </c>
      <c r="E30">
        <v>1.7</v>
      </c>
      <c r="G30" t="s">
        <v>99</v>
      </c>
      <c r="H30">
        <f t="shared" si="2"/>
        <v>3.75</v>
      </c>
      <c r="I30">
        <v>46.6</v>
      </c>
      <c r="J30">
        <v>47.4</v>
      </c>
      <c r="K30">
        <v>48.2</v>
      </c>
      <c r="L30">
        <v>49.1</v>
      </c>
      <c r="M30">
        <v>50.2</v>
      </c>
      <c r="N30">
        <v>51.1</v>
      </c>
      <c r="O30">
        <v>52</v>
      </c>
    </row>
    <row r="31" spans="1:15" x14ac:dyDescent="0.15">
      <c r="A31">
        <v>2</v>
      </c>
      <c r="B31">
        <v>5</v>
      </c>
      <c r="C31">
        <f t="shared" si="0"/>
        <v>2.4166666666666665</v>
      </c>
      <c r="D31">
        <v>47.8</v>
      </c>
      <c r="E31">
        <v>1.6</v>
      </c>
      <c r="G31" t="s">
        <v>101</v>
      </c>
      <c r="H31">
        <f t="shared" si="2"/>
        <v>4.25</v>
      </c>
      <c r="I31">
        <v>47</v>
      </c>
      <c r="J31">
        <v>47.8</v>
      </c>
      <c r="K31">
        <v>48.6</v>
      </c>
      <c r="L31">
        <v>49.6</v>
      </c>
      <c r="M31">
        <v>50.6</v>
      </c>
      <c r="N31">
        <v>51.6</v>
      </c>
      <c r="O31">
        <v>52.5</v>
      </c>
    </row>
    <row r="32" spans="1:15" x14ac:dyDescent="0.15">
      <c r="A32">
        <v>2</v>
      </c>
      <c r="B32">
        <v>6</v>
      </c>
      <c r="C32">
        <f t="shared" si="0"/>
        <v>2.5</v>
      </c>
      <c r="D32">
        <v>47.9</v>
      </c>
      <c r="E32">
        <v>1.6</v>
      </c>
      <c r="G32" t="s">
        <v>99</v>
      </c>
      <c r="H32">
        <f t="shared" si="2"/>
        <v>4.75</v>
      </c>
      <c r="I32">
        <v>47.3</v>
      </c>
      <c r="J32">
        <v>48.2</v>
      </c>
      <c r="K32">
        <v>49</v>
      </c>
      <c r="L32">
        <v>49.9</v>
      </c>
      <c r="M32">
        <v>51</v>
      </c>
      <c r="N32">
        <v>52</v>
      </c>
      <c r="O32">
        <v>52.9</v>
      </c>
    </row>
    <row r="33" spans="1:15" x14ac:dyDescent="0.15">
      <c r="A33">
        <v>2</v>
      </c>
      <c r="B33">
        <v>7</v>
      </c>
      <c r="C33">
        <f t="shared" si="0"/>
        <v>2.5833333333333335</v>
      </c>
      <c r="D33">
        <v>47.9</v>
      </c>
      <c r="E33">
        <v>1.5</v>
      </c>
      <c r="G33" t="s">
        <v>102</v>
      </c>
      <c r="H33">
        <f t="shared" si="2"/>
        <v>5.25</v>
      </c>
      <c r="I33">
        <v>47.7</v>
      </c>
      <c r="J33">
        <v>48.5</v>
      </c>
      <c r="K33">
        <v>49.4</v>
      </c>
      <c r="L33">
        <v>50.3</v>
      </c>
      <c r="M33">
        <v>51.4</v>
      </c>
      <c r="N33">
        <v>52.4</v>
      </c>
      <c r="O33">
        <v>53.3</v>
      </c>
    </row>
    <row r="34" spans="1:15" x14ac:dyDescent="0.15">
      <c r="A34">
        <v>2</v>
      </c>
      <c r="B34">
        <v>8</v>
      </c>
      <c r="C34">
        <f t="shared" si="0"/>
        <v>2.6666666666666665</v>
      </c>
      <c r="D34">
        <v>48</v>
      </c>
      <c r="E34">
        <v>1.5</v>
      </c>
      <c r="G34" t="s">
        <v>99</v>
      </c>
      <c r="H34">
        <f t="shared" si="2"/>
        <v>5.75</v>
      </c>
      <c r="I34">
        <v>48</v>
      </c>
      <c r="J34">
        <v>48.8</v>
      </c>
      <c r="K34">
        <v>49.7</v>
      </c>
      <c r="L34">
        <v>50.6</v>
      </c>
      <c r="M34">
        <v>51.7</v>
      </c>
      <c r="N34">
        <v>52.7</v>
      </c>
      <c r="O34">
        <v>53.7</v>
      </c>
    </row>
    <row r="35" spans="1:15" x14ac:dyDescent="0.15">
      <c r="A35">
        <v>2</v>
      </c>
      <c r="B35">
        <v>9</v>
      </c>
      <c r="C35">
        <f t="shared" si="0"/>
        <v>2.75</v>
      </c>
      <c r="D35">
        <v>48.1</v>
      </c>
      <c r="E35">
        <v>1.4</v>
      </c>
      <c r="G35" t="s">
        <v>103</v>
      </c>
      <c r="H35">
        <f t="shared" si="2"/>
        <v>6.25</v>
      </c>
      <c r="I35">
        <v>48.2</v>
      </c>
      <c r="J35">
        <v>49</v>
      </c>
      <c r="K35">
        <v>49.9</v>
      </c>
      <c r="L35">
        <v>50.9</v>
      </c>
      <c r="M35">
        <v>52</v>
      </c>
      <c r="N35">
        <v>53</v>
      </c>
      <c r="O35">
        <v>54</v>
      </c>
    </row>
    <row r="36" spans="1:15" x14ac:dyDescent="0.15">
      <c r="A36">
        <v>2</v>
      </c>
      <c r="B36">
        <v>10</v>
      </c>
      <c r="C36">
        <f t="shared" si="0"/>
        <v>2.8333333333333335</v>
      </c>
      <c r="D36">
        <v>48.2</v>
      </c>
      <c r="E36">
        <v>1.5</v>
      </c>
    </row>
    <row r="37" spans="1:15" x14ac:dyDescent="0.15">
      <c r="A37">
        <v>2</v>
      </c>
      <c r="B37">
        <v>11</v>
      </c>
      <c r="C37">
        <f t="shared" si="0"/>
        <v>2.9166666666666665</v>
      </c>
      <c r="D37">
        <v>48.3</v>
      </c>
      <c r="E37">
        <v>1.5</v>
      </c>
    </row>
    <row r="38" spans="1:15" x14ac:dyDescent="0.15">
      <c r="A38">
        <v>3</v>
      </c>
      <c r="B38">
        <v>0</v>
      </c>
      <c r="C38">
        <f t="shared" si="0"/>
        <v>3</v>
      </c>
      <c r="D38">
        <v>48.4</v>
      </c>
      <c r="E38">
        <v>1.6</v>
      </c>
    </row>
    <row r="39" spans="1:15" x14ac:dyDescent="0.15">
      <c r="A39">
        <v>3</v>
      </c>
      <c r="B39">
        <v>1</v>
      </c>
      <c r="C39">
        <f t="shared" si="0"/>
        <v>3.0833333333333335</v>
      </c>
      <c r="D39">
        <v>48.5</v>
      </c>
      <c r="E39">
        <v>1.6</v>
      </c>
    </row>
    <row r="40" spans="1:15" x14ac:dyDescent="0.15">
      <c r="A40">
        <v>3</v>
      </c>
      <c r="B40">
        <v>2</v>
      </c>
      <c r="C40">
        <f t="shared" si="0"/>
        <v>3.1666666666666665</v>
      </c>
      <c r="D40">
        <v>48.6</v>
      </c>
      <c r="E40">
        <v>1.7</v>
      </c>
    </row>
    <row r="41" spans="1:15" x14ac:dyDescent="0.15">
      <c r="A41">
        <v>3</v>
      </c>
      <c r="B41">
        <v>3</v>
      </c>
      <c r="C41">
        <f t="shared" si="0"/>
        <v>3.25</v>
      </c>
      <c r="D41">
        <v>48.7</v>
      </c>
      <c r="E41">
        <v>1.7</v>
      </c>
    </row>
    <row r="42" spans="1:15" x14ac:dyDescent="0.15">
      <c r="A42">
        <v>3</v>
      </c>
      <c r="B42">
        <v>4</v>
      </c>
      <c r="C42">
        <f t="shared" si="0"/>
        <v>3.3333333333333335</v>
      </c>
      <c r="D42">
        <v>48.8</v>
      </c>
      <c r="E42">
        <v>1.7</v>
      </c>
    </row>
    <row r="43" spans="1:15" x14ac:dyDescent="0.15">
      <c r="A43">
        <v>3</v>
      </c>
      <c r="B43">
        <v>5</v>
      </c>
      <c r="C43">
        <f t="shared" si="0"/>
        <v>3.4166666666666665</v>
      </c>
      <c r="D43">
        <v>48.9</v>
      </c>
      <c r="E43">
        <v>1.8</v>
      </c>
    </row>
    <row r="44" spans="1:15" x14ac:dyDescent="0.15">
      <c r="A44">
        <v>3</v>
      </c>
      <c r="B44">
        <v>6</v>
      </c>
      <c r="C44">
        <f t="shared" si="0"/>
        <v>3.5</v>
      </c>
      <c r="D44">
        <v>49</v>
      </c>
      <c r="E44">
        <v>1.8</v>
      </c>
    </row>
    <row r="45" spans="1:15" x14ac:dyDescent="0.15">
      <c r="A45">
        <v>3</v>
      </c>
      <c r="B45">
        <v>7</v>
      </c>
      <c r="C45">
        <f t="shared" si="0"/>
        <v>3.5833333333333335</v>
      </c>
      <c r="D45">
        <v>49.1</v>
      </c>
      <c r="E45">
        <v>1.8</v>
      </c>
    </row>
    <row r="46" spans="1:15" x14ac:dyDescent="0.15">
      <c r="A46">
        <v>3</v>
      </c>
      <c r="B46">
        <v>8</v>
      </c>
      <c r="C46">
        <f t="shared" si="0"/>
        <v>3.6666666666666665</v>
      </c>
      <c r="D46">
        <v>49.2</v>
      </c>
      <c r="E46">
        <v>1.9</v>
      </c>
    </row>
    <row r="47" spans="1:15" x14ac:dyDescent="0.15">
      <c r="A47">
        <v>3</v>
      </c>
      <c r="B47">
        <v>9</v>
      </c>
      <c r="C47">
        <f t="shared" si="0"/>
        <v>3.75</v>
      </c>
      <c r="D47">
        <v>49.3</v>
      </c>
      <c r="E47">
        <v>1.9</v>
      </c>
    </row>
    <row r="48" spans="1:15" x14ac:dyDescent="0.15">
      <c r="A48">
        <v>3</v>
      </c>
      <c r="B48">
        <v>10</v>
      </c>
      <c r="C48">
        <f t="shared" si="0"/>
        <v>3.8333333333333335</v>
      </c>
      <c r="D48">
        <v>49.4</v>
      </c>
      <c r="E48">
        <v>1.8</v>
      </c>
    </row>
    <row r="49" spans="1:5" x14ac:dyDescent="0.15">
      <c r="A49">
        <v>3</v>
      </c>
      <c r="B49">
        <v>11</v>
      </c>
      <c r="C49">
        <f t="shared" si="0"/>
        <v>3.9166666666666665</v>
      </c>
      <c r="D49">
        <v>49.4</v>
      </c>
      <c r="E49">
        <v>1.7</v>
      </c>
    </row>
    <row r="50" spans="1:5" x14ac:dyDescent="0.15">
      <c r="A50">
        <v>4</v>
      </c>
      <c r="B50">
        <v>0</v>
      </c>
      <c r="C50">
        <f t="shared" si="0"/>
        <v>4</v>
      </c>
      <c r="D50">
        <v>49.5</v>
      </c>
      <c r="E50">
        <v>1.6</v>
      </c>
    </row>
    <row r="51" spans="1:5" x14ac:dyDescent="0.15">
      <c r="A51">
        <v>4</v>
      </c>
      <c r="B51">
        <v>1</v>
      </c>
      <c r="C51">
        <f t="shared" si="0"/>
        <v>4.083333333333333</v>
      </c>
      <c r="D51">
        <v>49.5</v>
      </c>
      <c r="E51">
        <v>1.5</v>
      </c>
    </row>
    <row r="52" spans="1:5" x14ac:dyDescent="0.15">
      <c r="A52">
        <v>4</v>
      </c>
      <c r="B52">
        <v>2</v>
      </c>
      <c r="C52">
        <f t="shared" si="0"/>
        <v>4.166666666666667</v>
      </c>
      <c r="D52">
        <v>49.6</v>
      </c>
      <c r="E52">
        <v>1.4</v>
      </c>
    </row>
    <row r="53" spans="1:5" x14ac:dyDescent="0.15">
      <c r="A53">
        <v>4</v>
      </c>
      <c r="B53">
        <v>3</v>
      </c>
      <c r="C53">
        <f t="shared" si="0"/>
        <v>4.25</v>
      </c>
      <c r="D53">
        <v>49.6</v>
      </c>
      <c r="E53">
        <v>1.3</v>
      </c>
    </row>
    <row r="54" spans="1:5" x14ac:dyDescent="0.15">
      <c r="A54">
        <v>4</v>
      </c>
      <c r="B54">
        <v>4</v>
      </c>
      <c r="C54">
        <f t="shared" si="0"/>
        <v>4.333333333333333</v>
      </c>
      <c r="D54">
        <v>49.7</v>
      </c>
      <c r="E54">
        <v>1.3</v>
      </c>
    </row>
    <row r="55" spans="1:5" x14ac:dyDescent="0.15">
      <c r="A55">
        <v>4</v>
      </c>
      <c r="B55">
        <v>5</v>
      </c>
      <c r="C55">
        <f t="shared" si="0"/>
        <v>4.416666666666667</v>
      </c>
      <c r="D55">
        <v>49.8</v>
      </c>
      <c r="E55">
        <v>1.4</v>
      </c>
    </row>
    <row r="56" spans="1:5" x14ac:dyDescent="0.15">
      <c r="A56">
        <v>4</v>
      </c>
      <c r="B56">
        <v>6</v>
      </c>
      <c r="C56">
        <f t="shared" si="0"/>
        <v>4.5</v>
      </c>
      <c r="D56">
        <v>49.9</v>
      </c>
      <c r="E56">
        <v>1.4</v>
      </c>
    </row>
    <row r="57" spans="1:5" x14ac:dyDescent="0.15">
      <c r="A57">
        <v>4</v>
      </c>
      <c r="B57">
        <v>7</v>
      </c>
      <c r="C57">
        <f t="shared" si="0"/>
        <v>4.583333333333333</v>
      </c>
      <c r="D57">
        <v>49.9</v>
      </c>
      <c r="E57">
        <v>1.4</v>
      </c>
    </row>
    <row r="58" spans="1:5" x14ac:dyDescent="0.15">
      <c r="A58">
        <v>4</v>
      </c>
      <c r="B58">
        <v>8</v>
      </c>
      <c r="C58">
        <f t="shared" si="0"/>
        <v>4.666666666666667</v>
      </c>
      <c r="D58">
        <v>50</v>
      </c>
      <c r="E58">
        <v>1.5</v>
      </c>
    </row>
    <row r="59" spans="1:5" x14ac:dyDescent="0.15">
      <c r="A59">
        <v>4</v>
      </c>
      <c r="B59">
        <v>9</v>
      </c>
      <c r="C59">
        <f t="shared" si="0"/>
        <v>4.75</v>
      </c>
      <c r="D59">
        <v>50.1</v>
      </c>
      <c r="E59">
        <v>1.5</v>
      </c>
    </row>
    <row r="60" spans="1:5" x14ac:dyDescent="0.15">
      <c r="A60">
        <v>4</v>
      </c>
      <c r="B60">
        <v>10</v>
      </c>
      <c r="C60">
        <f t="shared" si="0"/>
        <v>4.833333333333333</v>
      </c>
      <c r="D60">
        <v>50.2</v>
      </c>
      <c r="E60">
        <v>1.5</v>
      </c>
    </row>
    <row r="61" spans="1:5" x14ac:dyDescent="0.15">
      <c r="A61">
        <v>4</v>
      </c>
      <c r="B61">
        <v>11</v>
      </c>
      <c r="C61">
        <f t="shared" si="0"/>
        <v>4.916666666666667</v>
      </c>
      <c r="D61">
        <v>50.2</v>
      </c>
      <c r="E61">
        <v>1.6</v>
      </c>
    </row>
    <row r="62" spans="1:5" x14ac:dyDescent="0.15">
      <c r="A62">
        <v>5</v>
      </c>
      <c r="B62">
        <v>0</v>
      </c>
      <c r="C62">
        <f t="shared" si="0"/>
        <v>5</v>
      </c>
      <c r="D62">
        <v>50.3</v>
      </c>
      <c r="E62">
        <v>1.6</v>
      </c>
    </row>
    <row r="63" spans="1:5" x14ac:dyDescent="0.15">
      <c r="A63">
        <v>5</v>
      </c>
      <c r="B63">
        <v>1</v>
      </c>
      <c r="C63">
        <f t="shared" si="0"/>
        <v>5.083333333333333</v>
      </c>
      <c r="D63">
        <v>50.3</v>
      </c>
      <c r="E63">
        <v>1.6</v>
      </c>
    </row>
    <row r="64" spans="1:5" x14ac:dyDescent="0.15">
      <c r="A64">
        <v>5</v>
      </c>
      <c r="B64">
        <v>2</v>
      </c>
      <c r="C64">
        <f t="shared" si="0"/>
        <v>5.166666666666667</v>
      </c>
      <c r="D64">
        <v>50.4</v>
      </c>
      <c r="E64">
        <v>1.7</v>
      </c>
    </row>
    <row r="65" spans="1:5" x14ac:dyDescent="0.15">
      <c r="A65">
        <v>5</v>
      </c>
      <c r="B65">
        <v>3</v>
      </c>
      <c r="C65">
        <f t="shared" si="0"/>
        <v>5.25</v>
      </c>
      <c r="D65">
        <v>50.4</v>
      </c>
      <c r="E65">
        <v>1.7</v>
      </c>
    </row>
    <row r="66" spans="1:5" x14ac:dyDescent="0.15">
      <c r="A66">
        <v>5</v>
      </c>
      <c r="B66">
        <v>4</v>
      </c>
      <c r="C66">
        <f t="shared" si="0"/>
        <v>5.333333333333333</v>
      </c>
      <c r="D66">
        <v>50.5</v>
      </c>
      <c r="E66">
        <v>1.7</v>
      </c>
    </row>
    <row r="67" spans="1:5" x14ac:dyDescent="0.15">
      <c r="A67">
        <v>5</v>
      </c>
      <c r="B67">
        <v>5</v>
      </c>
      <c r="C67">
        <f t="shared" ref="C67:C85" si="3">A67+B67/12</f>
        <v>5.416666666666667</v>
      </c>
      <c r="D67">
        <v>50.5</v>
      </c>
      <c r="E67">
        <v>1.7</v>
      </c>
    </row>
    <row r="68" spans="1:5" x14ac:dyDescent="0.15">
      <c r="A68">
        <v>5</v>
      </c>
      <c r="B68">
        <v>6</v>
      </c>
      <c r="C68">
        <f t="shared" si="3"/>
        <v>5.5</v>
      </c>
      <c r="D68">
        <v>50.6</v>
      </c>
      <c r="E68">
        <v>1.7</v>
      </c>
    </row>
    <row r="69" spans="1:5" x14ac:dyDescent="0.15">
      <c r="A69">
        <v>5</v>
      </c>
      <c r="B69">
        <v>7</v>
      </c>
      <c r="C69">
        <f t="shared" si="3"/>
        <v>5.583333333333333</v>
      </c>
      <c r="D69">
        <v>50.6</v>
      </c>
      <c r="E69">
        <v>1.6</v>
      </c>
    </row>
    <row r="70" spans="1:5" x14ac:dyDescent="0.15">
      <c r="A70">
        <v>5</v>
      </c>
      <c r="B70">
        <v>8</v>
      </c>
      <c r="C70">
        <f t="shared" si="3"/>
        <v>5.666666666666667</v>
      </c>
      <c r="D70">
        <v>50.7</v>
      </c>
      <c r="E70">
        <v>1.6</v>
      </c>
    </row>
    <row r="71" spans="1:5" x14ac:dyDescent="0.15">
      <c r="A71">
        <v>5</v>
      </c>
      <c r="B71">
        <v>9</v>
      </c>
      <c r="C71">
        <f t="shared" si="3"/>
        <v>5.75</v>
      </c>
      <c r="D71">
        <v>50.7</v>
      </c>
      <c r="E71">
        <v>1.6</v>
      </c>
    </row>
    <row r="72" spans="1:5" x14ac:dyDescent="0.15">
      <c r="A72">
        <v>5</v>
      </c>
      <c r="B72">
        <v>10</v>
      </c>
      <c r="C72">
        <f t="shared" si="3"/>
        <v>5.833333333333333</v>
      </c>
      <c r="D72">
        <v>50.7</v>
      </c>
      <c r="E72">
        <v>1.6</v>
      </c>
    </row>
    <row r="73" spans="1:5" x14ac:dyDescent="0.15">
      <c r="A73">
        <v>5</v>
      </c>
      <c r="B73">
        <v>11</v>
      </c>
      <c r="C73">
        <f t="shared" si="3"/>
        <v>5.916666666666667</v>
      </c>
      <c r="D73">
        <v>50.7</v>
      </c>
      <c r="E73">
        <v>1.6</v>
      </c>
    </row>
    <row r="74" spans="1:5" x14ac:dyDescent="0.15">
      <c r="A74">
        <v>6</v>
      </c>
      <c r="B74">
        <v>0</v>
      </c>
      <c r="C74">
        <f t="shared" si="3"/>
        <v>6</v>
      </c>
      <c r="D74">
        <v>50.7</v>
      </c>
      <c r="E74">
        <v>1.7</v>
      </c>
    </row>
    <row r="75" spans="1:5" x14ac:dyDescent="0.15">
      <c r="A75">
        <v>6</v>
      </c>
      <c r="B75">
        <v>1</v>
      </c>
      <c r="C75">
        <f t="shared" si="3"/>
        <v>6.083333333333333</v>
      </c>
      <c r="D75">
        <v>50.7</v>
      </c>
      <c r="E75">
        <v>1.7</v>
      </c>
    </row>
    <row r="76" spans="1:5" x14ac:dyDescent="0.15">
      <c r="A76">
        <v>6</v>
      </c>
      <c r="B76">
        <v>2</v>
      </c>
      <c r="C76">
        <f t="shared" si="3"/>
        <v>6.166666666666667</v>
      </c>
      <c r="D76">
        <v>50.7</v>
      </c>
      <c r="E76">
        <v>1.7</v>
      </c>
    </row>
    <row r="77" spans="1:5" x14ac:dyDescent="0.15">
      <c r="A77">
        <v>6</v>
      </c>
      <c r="B77">
        <v>3</v>
      </c>
      <c r="C77">
        <f t="shared" si="3"/>
        <v>6.25</v>
      </c>
      <c r="D77">
        <v>50.7</v>
      </c>
      <c r="E77">
        <v>1.7</v>
      </c>
    </row>
    <row r="78" spans="1:5" x14ac:dyDescent="0.15">
      <c r="A78">
        <v>6</v>
      </c>
      <c r="B78">
        <v>4</v>
      </c>
      <c r="C78">
        <f t="shared" si="3"/>
        <v>6.333333333333333</v>
      </c>
    </row>
    <row r="79" spans="1:5" x14ac:dyDescent="0.15">
      <c r="A79">
        <v>6</v>
      </c>
      <c r="B79">
        <v>5</v>
      </c>
      <c r="C79">
        <f t="shared" si="3"/>
        <v>6.416666666666667</v>
      </c>
    </row>
    <row r="80" spans="1:5" x14ac:dyDescent="0.15">
      <c r="A80">
        <v>6</v>
      </c>
      <c r="B80">
        <v>6</v>
      </c>
      <c r="C80">
        <f t="shared" si="3"/>
        <v>6.5</v>
      </c>
    </row>
    <row r="81" spans="1:3" x14ac:dyDescent="0.15">
      <c r="A81">
        <v>6</v>
      </c>
      <c r="B81">
        <v>7</v>
      </c>
      <c r="C81">
        <f t="shared" si="3"/>
        <v>6.583333333333333</v>
      </c>
    </row>
    <row r="82" spans="1:3" x14ac:dyDescent="0.15">
      <c r="A82">
        <v>6</v>
      </c>
      <c r="B82">
        <v>8</v>
      </c>
      <c r="C82">
        <f t="shared" si="3"/>
        <v>6.666666666666667</v>
      </c>
    </row>
    <row r="83" spans="1:3" x14ac:dyDescent="0.15">
      <c r="A83">
        <v>6</v>
      </c>
      <c r="B83">
        <v>9</v>
      </c>
      <c r="C83">
        <f t="shared" si="3"/>
        <v>6.75</v>
      </c>
    </row>
    <row r="84" spans="1:3" x14ac:dyDescent="0.15">
      <c r="A84">
        <v>6</v>
      </c>
      <c r="B84">
        <v>10</v>
      </c>
      <c r="C84">
        <f t="shared" si="3"/>
        <v>6.833333333333333</v>
      </c>
    </row>
    <row r="85" spans="1:3" x14ac:dyDescent="0.15">
      <c r="A85">
        <v>6</v>
      </c>
      <c r="B85">
        <v>11</v>
      </c>
      <c r="C85">
        <f t="shared" si="3"/>
        <v>6.916666666666667</v>
      </c>
    </row>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workbookViewId="0">
      <selection activeCell="M32" sqref="M32"/>
    </sheetView>
  </sheetViews>
  <sheetFormatPr baseColWidth="12" defaultColWidth="8.83203125" defaultRowHeight="14" x14ac:dyDescent="0.15"/>
  <sheetData>
    <row r="1" spans="1:23" x14ac:dyDescent="0.15">
      <c r="A1" t="s">
        <v>79</v>
      </c>
    </row>
    <row r="2" spans="1:23" x14ac:dyDescent="0.15">
      <c r="A2" t="s">
        <v>148</v>
      </c>
    </row>
    <row r="3" spans="1:23" x14ac:dyDescent="0.15">
      <c r="A3" t="s">
        <v>105</v>
      </c>
    </row>
    <row r="4" spans="1:23" x14ac:dyDescent="0.15">
      <c r="A4" t="s">
        <v>104</v>
      </c>
    </row>
    <row r="5" spans="1:23" x14ac:dyDescent="0.15">
      <c r="A5" t="s">
        <v>112</v>
      </c>
    </row>
    <row r="6" spans="1:23" x14ac:dyDescent="0.15">
      <c r="A6" t="str">
        <f>"乳児（"&amp;入力!$B$2&amp;"子）身体発育曲線（胸囲）"</f>
        <v>乳児（子）身体発育曲線（胸囲）</v>
      </c>
    </row>
    <row r="7" spans="1:23" x14ac:dyDescent="0.15">
      <c r="A7" t="str">
        <f>"幼児（"&amp;入力!$B$2&amp;"子）身体発育曲線（胸囲）"</f>
        <v>幼児（子）身体発育曲線（胸囲）</v>
      </c>
    </row>
    <row r="9" spans="1:23" ht="13.5" customHeight="1" x14ac:dyDescent="0.15">
      <c r="A9" t="s">
        <v>80</v>
      </c>
      <c r="B9" t="s">
        <v>82</v>
      </c>
      <c r="D9" t="s">
        <v>81</v>
      </c>
      <c r="E9" t="s">
        <v>160</v>
      </c>
      <c r="H9" t="s">
        <v>82</v>
      </c>
      <c r="I9" t="s">
        <v>120</v>
      </c>
      <c r="J9" t="s">
        <v>129</v>
      </c>
      <c r="K9" t="s">
        <v>122</v>
      </c>
      <c r="L9" t="s">
        <v>123</v>
      </c>
      <c r="M9" t="s">
        <v>124</v>
      </c>
      <c r="N9" t="s">
        <v>125</v>
      </c>
      <c r="O9" t="s">
        <v>126</v>
      </c>
      <c r="Q9" t="s">
        <v>106</v>
      </c>
      <c r="T9" t="s">
        <v>107</v>
      </c>
      <c r="U9" t="s">
        <v>108</v>
      </c>
      <c r="V9" t="s">
        <v>109</v>
      </c>
      <c r="W9">
        <v>1</v>
      </c>
    </row>
    <row r="10" spans="1:23" ht="13.5" customHeight="1" x14ac:dyDescent="0.15">
      <c r="A10">
        <v>0</v>
      </c>
      <c r="B10">
        <v>0</v>
      </c>
      <c r="C10">
        <f>A10+B10/12</f>
        <v>0</v>
      </c>
      <c r="D10">
        <f>IF(胸囲データ!C2="男",胸囲_男!D2,胸囲_女!D2)</f>
        <v>0</v>
      </c>
      <c r="E10">
        <f>IF(胸囲データ!D2="男",胸囲_男!E2,胸囲_女!E2)</f>
        <v>0</v>
      </c>
      <c r="G10" t="s">
        <v>83</v>
      </c>
      <c r="H10">
        <v>0</v>
      </c>
      <c r="I10">
        <f>IF(入力!$B$2="男",胸囲_男!I2,胸囲_女!I2)</f>
        <v>29.3</v>
      </c>
      <c r="J10">
        <f>IF(入力!$B$2="男",胸囲_男!J2,胸囲_女!J2)</f>
        <v>30.1</v>
      </c>
      <c r="K10">
        <f>IF(入力!$B$2="男",胸囲_男!K2,胸囲_女!K2)</f>
        <v>30.9</v>
      </c>
      <c r="L10">
        <f>IF(入力!$B$2="男",胸囲_男!L2,胸囲_女!L2)</f>
        <v>31.8</v>
      </c>
      <c r="M10">
        <f>IF(入力!$B$2="男",胸囲_男!M2,胸囲_女!M2)</f>
        <v>32.799999999999997</v>
      </c>
      <c r="N10">
        <f>IF(入力!$B$2="男",胸囲_男!N2,胸囲_女!N2)</f>
        <v>33.700000000000003</v>
      </c>
      <c r="O10">
        <f>IF(入力!$B$2="男",胸囲_男!O2,胸囲_女!O2)</f>
        <v>34.6</v>
      </c>
      <c r="Q10" t="s">
        <v>38</v>
      </c>
      <c r="R10">
        <v>0</v>
      </c>
      <c r="S10">
        <v>2</v>
      </c>
      <c r="T10">
        <f>IF(入力!$B$2="男",胸囲_男!T2,胸囲_女!T2)</f>
        <v>-0.83618479999999995</v>
      </c>
      <c r="U10">
        <f>IF(入力!$B$2="男",胸囲_男!U2,胸囲_女!U2)</f>
        <v>4.4888090099999998</v>
      </c>
      <c r="V10">
        <f>IF(入力!$B$2="男",胸囲_男!V2,胸囲_女!V2)</f>
        <v>-7.6567299999999996</v>
      </c>
      <c r="W10">
        <f>IF(入力!$B$2="男",胸囲_男!W2,胸囲_女!W2)</f>
        <v>3.1050279999999999</v>
      </c>
    </row>
    <row r="11" spans="1:23" x14ac:dyDescent="0.15">
      <c r="A11">
        <v>0</v>
      </c>
      <c r="B11">
        <v>1</v>
      </c>
      <c r="C11">
        <f t="shared" ref="C11:C74" si="0">A11+B11/12</f>
        <v>8.3333333333333329E-2</v>
      </c>
      <c r="D11">
        <f>IF(胸囲データ!C3="男",胸囲_男!D3,胸囲_女!D3)</f>
        <v>0</v>
      </c>
      <c r="E11">
        <f>IF(胸囲データ!D3="男",胸囲_男!E3,胸囲_女!E3)</f>
        <v>0</v>
      </c>
      <c r="G11" t="s">
        <v>128</v>
      </c>
      <c r="H11">
        <f>5/30</f>
        <v>0.16666666666666666</v>
      </c>
      <c r="I11">
        <f>IF(入力!$B$2="男",胸囲_男!I2,胸囲_女!I2)</f>
        <v>29.3</v>
      </c>
      <c r="J11">
        <f>IF(入力!$B$2="男",胸囲_男!J2,胸囲_女!J2)</f>
        <v>30.1</v>
      </c>
      <c r="K11">
        <f>IF(入力!$B$2="男",胸囲_男!K2,胸囲_女!K2)</f>
        <v>30.9</v>
      </c>
      <c r="L11">
        <f>IF(入力!$B$2="男",胸囲_男!L2,胸囲_女!L2)</f>
        <v>31.8</v>
      </c>
      <c r="M11">
        <f>IF(入力!$B$2="男",胸囲_男!M2,胸囲_女!M2)</f>
        <v>32.799999999999997</v>
      </c>
      <c r="N11">
        <f>IF(入力!$B$2="男",胸囲_男!N2,胸囲_女!N2)</f>
        <v>33.700000000000003</v>
      </c>
      <c r="O11">
        <f>IF(入力!$B$2="男",胸囲_男!O2,胸囲_女!O2)</f>
        <v>34.6</v>
      </c>
      <c r="R11">
        <v>2</v>
      </c>
      <c r="T11">
        <f>IF(入力!$B$2="男",胸囲_男!T3,胸囲_女!T3)</f>
        <v>7.5383961999999999E-2</v>
      </c>
      <c r="U11">
        <f>IF(入力!$B$2="男",胸囲_男!U3,胸囲_女!U3)</f>
        <v>-0.98060360000000002</v>
      </c>
      <c r="V11">
        <f>IF(入力!$B$2="男",胸囲_男!V3,胸囲_女!V3)</f>
        <v>3.2820900000000002</v>
      </c>
      <c r="W11">
        <f>IF(入力!$B$2="男",胸囲_男!W3,胸囲_女!W3)</f>
        <v>-4.1875200000000001</v>
      </c>
    </row>
    <row r="12" spans="1:23" x14ac:dyDescent="0.15">
      <c r="A12">
        <v>0</v>
      </c>
      <c r="B12">
        <v>2</v>
      </c>
      <c r="C12">
        <f t="shared" si="0"/>
        <v>0.16666666666666666</v>
      </c>
      <c r="D12">
        <f>IF(胸囲データ!C4="男",胸囲_男!D4,胸囲_女!D4)</f>
        <v>0</v>
      </c>
      <c r="E12">
        <f>IF(胸囲データ!D4="男",胸囲_男!E4,胸囲_女!E4)</f>
        <v>0</v>
      </c>
      <c r="G12" t="s">
        <v>84</v>
      </c>
      <c r="H12">
        <v>1</v>
      </c>
      <c r="I12">
        <f>IF(入力!$B$2="男",胸囲_男!I3,胸囲_女!I3)</f>
        <v>32.799999999999997</v>
      </c>
      <c r="J12">
        <f>IF(入力!$B$2="男",胸囲_男!J3,胸囲_女!J3)</f>
        <v>33.6</v>
      </c>
      <c r="K12">
        <f>IF(入力!$B$2="男",胸囲_男!K3,胸囲_女!K3)</f>
        <v>34.4</v>
      </c>
      <c r="L12">
        <f>IF(入力!$B$2="男",胸囲_男!L3,胸囲_女!L3)</f>
        <v>35.4</v>
      </c>
      <c r="M12">
        <f>IF(入力!$B$2="男",胸囲_男!M3,胸囲_女!M3)</f>
        <v>36.4</v>
      </c>
      <c r="N12">
        <f>IF(入力!$B$2="男",胸囲_男!N3,胸囲_女!N3)</f>
        <v>37.299999999999997</v>
      </c>
      <c r="O12">
        <f>IF(入力!$B$2="男",胸囲_男!O3,胸囲_女!O3)</f>
        <v>38.5</v>
      </c>
      <c r="Q12" t="s">
        <v>110</v>
      </c>
      <c r="R12">
        <v>0</v>
      </c>
      <c r="S12">
        <v>0.5</v>
      </c>
      <c r="T12">
        <f>IF(入力!$B$2="男",胸囲_男!T4,胸囲_女!T4)</f>
        <v>47.312016399999997</v>
      </c>
      <c r="U12">
        <f>IF(入力!$B$2="男",胸囲_男!U4,胸囲_女!U4)</f>
        <v>-78.625148999999993</v>
      </c>
      <c r="V12">
        <f>IF(入力!$B$2="男",胸囲_男!V4,胸囲_女!V4)</f>
        <v>49.666409999999999</v>
      </c>
      <c r="W12">
        <f>IF(入力!$B$2="男",胸囲_男!W4,胸囲_女!W4)</f>
        <v>31.558789999999998</v>
      </c>
    </row>
    <row r="13" spans="1:23" x14ac:dyDescent="0.15">
      <c r="A13">
        <v>0</v>
      </c>
      <c r="B13">
        <v>3</v>
      </c>
      <c r="C13">
        <f t="shared" si="0"/>
        <v>0.25</v>
      </c>
      <c r="D13">
        <f>IF(胸囲データ!C5="男",胸囲_男!D5,胸囲_女!D5)</f>
        <v>0</v>
      </c>
      <c r="E13">
        <f>IF(胸囲データ!D5="男",胸囲_男!E5,胸囲_女!E5)</f>
        <v>0</v>
      </c>
      <c r="G13" t="s">
        <v>85</v>
      </c>
      <c r="H13">
        <v>1.5</v>
      </c>
      <c r="I13">
        <f>IF(入力!$B$2="男",胸囲_男!I4,胸囲_女!I4)</f>
        <v>34.4</v>
      </c>
      <c r="J13">
        <f>IF(入力!$B$2="男",胸囲_男!J4,胸囲_女!J4)</f>
        <v>35.299999999999997</v>
      </c>
      <c r="K13">
        <f>IF(入力!$B$2="男",胸囲_男!K4,胸囲_女!K4)</f>
        <v>36.200000000000003</v>
      </c>
      <c r="L13">
        <f>IF(入力!$B$2="男",胸囲_男!L4,胸囲_女!L4)</f>
        <v>37.200000000000003</v>
      </c>
      <c r="M13">
        <f>IF(入力!$B$2="男",胸囲_男!M4,胸囲_女!M4)</f>
        <v>38.299999999999997</v>
      </c>
      <c r="N13">
        <f>IF(入力!$B$2="男",胸囲_男!N4,胸囲_女!N4)</f>
        <v>39.4</v>
      </c>
      <c r="O13">
        <f>IF(入力!$B$2="男",胸囲_男!O4,胸囲_女!O4)</f>
        <v>40.5</v>
      </c>
      <c r="R13">
        <v>0.5</v>
      </c>
      <c r="S13">
        <v>1</v>
      </c>
      <c r="T13">
        <f>IF(入力!$B$2="男",胸囲_男!T5,胸囲_女!T5)</f>
        <v>5.1995720849999998</v>
      </c>
      <c r="U13">
        <f>IF(入力!$B$2="男",胸囲_男!U5,胸囲_女!U5)</f>
        <v>-15.456483</v>
      </c>
      <c r="V13">
        <f>IF(入力!$B$2="男",胸囲_男!V5,胸囲_女!V5)</f>
        <v>18.082070000000002</v>
      </c>
      <c r="W13">
        <f>IF(入力!$B$2="男",胸囲_男!W5,胸囲_女!W5)</f>
        <v>36.822850000000003</v>
      </c>
    </row>
    <row r="14" spans="1:23" x14ac:dyDescent="0.15">
      <c r="A14">
        <v>0</v>
      </c>
      <c r="B14">
        <v>4</v>
      </c>
      <c r="C14">
        <f t="shared" si="0"/>
        <v>0.33333333333333331</v>
      </c>
      <c r="D14">
        <f>IF(胸囲データ!C6="男",胸囲_男!D6,胸囲_女!D6)</f>
        <v>0</v>
      </c>
      <c r="E14">
        <f>IF(胸囲データ!D6="男",胸囲_男!E6,胸囲_女!E6)</f>
        <v>0</v>
      </c>
      <c r="G14" t="s">
        <v>86</v>
      </c>
      <c r="H14">
        <f>H13+1</f>
        <v>2.5</v>
      </c>
      <c r="I14">
        <f>IF(入力!$B$2="男",胸囲_男!I5,胸囲_女!I5)</f>
        <v>36.5</v>
      </c>
      <c r="J14">
        <f>IF(入力!$B$2="男",胸囲_男!J5,胸囲_女!J5)</f>
        <v>37.4</v>
      </c>
      <c r="K14">
        <f>IF(入力!$B$2="男",胸囲_男!K5,胸囲_女!K5)</f>
        <v>38.4</v>
      </c>
      <c r="L14">
        <f>IF(入力!$B$2="男",胸囲_男!L5,胸囲_女!L5)</f>
        <v>39.5</v>
      </c>
      <c r="M14">
        <f>IF(入力!$B$2="男",胸囲_男!M5,胸囲_女!M5)</f>
        <v>40.6</v>
      </c>
      <c r="N14">
        <f>IF(入力!$B$2="男",胸囲_男!N5,胸囲_女!N5)</f>
        <v>41.7</v>
      </c>
      <c r="O14">
        <f>IF(入力!$B$2="男",胸囲_男!O5,胸囲_女!O5)</f>
        <v>42.8</v>
      </c>
      <c r="R14">
        <v>1</v>
      </c>
      <c r="S14">
        <v>2</v>
      </c>
      <c r="T14">
        <f>IF(入力!$B$2="男",胸囲_男!T6,胸囲_女!T6)</f>
        <v>-0.21143497999999999</v>
      </c>
      <c r="U14">
        <f>IF(入力!$B$2="男",胸囲_男!U6,胸囲_女!U6)</f>
        <v>0.77653821999999995</v>
      </c>
      <c r="V14">
        <f>IF(入力!$B$2="男",胸囲_男!V6,胸囲_女!V6)</f>
        <v>1.849054</v>
      </c>
      <c r="W14">
        <f>IF(入力!$B$2="男",胸囲_男!W6,胸囲_女!W6)</f>
        <v>42.233849999999997</v>
      </c>
    </row>
    <row r="15" spans="1:23" x14ac:dyDescent="0.15">
      <c r="A15">
        <v>0</v>
      </c>
      <c r="B15">
        <v>5</v>
      </c>
      <c r="C15">
        <f t="shared" si="0"/>
        <v>0.41666666666666669</v>
      </c>
      <c r="D15">
        <f>IF(胸囲データ!C7="男",胸囲_男!D7,胸囲_女!D7)</f>
        <v>0</v>
      </c>
      <c r="E15">
        <f>IF(胸囲データ!D7="男",胸囲_男!E7,胸囲_女!E7)</f>
        <v>0</v>
      </c>
      <c r="G15" t="s">
        <v>87</v>
      </c>
      <c r="H15">
        <f t="shared" ref="H15:H24" si="1">H14+1</f>
        <v>3.5</v>
      </c>
      <c r="I15">
        <f>IF(入力!$B$2="男",胸囲_男!I6,胸囲_女!I6)</f>
        <v>38</v>
      </c>
      <c r="J15">
        <f>IF(入力!$B$2="男",胸囲_男!J6,胸囲_女!J6)</f>
        <v>38.9</v>
      </c>
      <c r="K15">
        <f>IF(入力!$B$2="男",胸囲_男!K6,胸囲_女!K6)</f>
        <v>39.9</v>
      </c>
      <c r="L15">
        <f>IF(入力!$B$2="男",胸囲_男!L6,胸囲_女!L6)</f>
        <v>41.1</v>
      </c>
      <c r="M15">
        <f>IF(入力!$B$2="男",胸囲_男!M6,胸囲_女!M6)</f>
        <v>42.2</v>
      </c>
      <c r="N15">
        <f>IF(入力!$B$2="男",胸囲_男!N6,胸囲_女!N6)</f>
        <v>43.3</v>
      </c>
      <c r="O15">
        <f>IF(入力!$B$2="男",胸囲_男!O6,胸囲_女!O6)</f>
        <v>44.5</v>
      </c>
      <c r="R15">
        <v>2</v>
      </c>
      <c r="S15">
        <v>4</v>
      </c>
      <c r="T15">
        <f>IF(入力!$B$2="男",胸囲_男!T7,胸囲_女!T7)</f>
        <v>0.118880213</v>
      </c>
      <c r="U15">
        <f>IF(入力!$B$2="男",胸囲_男!U7,胸囲_女!U7)</f>
        <v>-1.2053529000000001</v>
      </c>
      <c r="V15">
        <f>IF(入力!$B$2="男",胸囲_男!V7,胸囲_女!V7)</f>
        <v>5.8128359999999999</v>
      </c>
      <c r="W15">
        <f>IF(入力!$B$2="男",胸囲_男!W7,胸囲_女!W7)</f>
        <v>39.591329999999999</v>
      </c>
    </row>
    <row r="16" spans="1:23" x14ac:dyDescent="0.15">
      <c r="A16">
        <v>0</v>
      </c>
      <c r="B16">
        <v>6</v>
      </c>
      <c r="C16">
        <f t="shared" si="0"/>
        <v>0.5</v>
      </c>
      <c r="D16">
        <f>IF(胸囲データ!C8="男",胸囲_男!D8,胸囲_女!D8)</f>
        <v>0</v>
      </c>
      <c r="E16">
        <f>IF(胸囲データ!D8="男",胸囲_男!E8,胸囲_女!E8)</f>
        <v>0</v>
      </c>
      <c r="G16" t="s">
        <v>88</v>
      </c>
      <c r="H16">
        <f t="shared" si="1"/>
        <v>4.5</v>
      </c>
      <c r="I16">
        <f>IF(入力!$B$2="男",胸囲_男!I7,胸囲_女!I7)</f>
        <v>38.9</v>
      </c>
      <c r="J16">
        <f>IF(入力!$B$2="男",胸囲_男!J7,胸囲_女!J7)</f>
        <v>39.9</v>
      </c>
      <c r="K16">
        <f>IF(入力!$B$2="男",胸囲_男!K7,胸囲_女!K7)</f>
        <v>40.9</v>
      </c>
      <c r="L16">
        <f>IF(入力!$B$2="男",胸囲_男!L7,胸囲_女!L7)</f>
        <v>42.1</v>
      </c>
      <c r="M16">
        <f>IF(入力!$B$2="男",胸囲_男!M7,胸囲_女!M7)</f>
        <v>43.3</v>
      </c>
      <c r="N16">
        <f>IF(入力!$B$2="男",胸囲_男!N7,胸囲_女!N7)</f>
        <v>44.4</v>
      </c>
      <c r="O16">
        <f>IF(入力!$B$2="男",胸囲_男!O7,胸囲_女!O7)</f>
        <v>45.6</v>
      </c>
      <c r="R16">
        <v>4</v>
      </c>
      <c r="T16">
        <f>IF(入力!$B$2="男",胸囲_男!T8,胸囲_女!T8)</f>
        <v>-0.12250610000000001</v>
      </c>
      <c r="U16">
        <f>IF(入力!$B$2="男",胸囲_男!U8,胸囲_女!U8)</f>
        <v>1.6912828799999999</v>
      </c>
      <c r="V16">
        <f>IF(入力!$B$2="男",胸囲_男!V8,胸囲_女!V8)</f>
        <v>-5.7737100000000003</v>
      </c>
      <c r="W16">
        <f>IF(入力!$B$2="男",胸囲_男!W8,胸囲_女!W8)</f>
        <v>55.040059999999997</v>
      </c>
    </row>
    <row r="17" spans="1:25" x14ac:dyDescent="0.15">
      <c r="A17">
        <v>0</v>
      </c>
      <c r="B17">
        <v>7</v>
      </c>
      <c r="C17">
        <f t="shared" si="0"/>
        <v>0.58333333333333337</v>
      </c>
      <c r="D17">
        <f>IF(胸囲データ!C9="男",胸囲_男!D9,胸囲_女!D9)</f>
        <v>0</v>
      </c>
      <c r="E17">
        <f>IF(胸囲データ!D9="男",胸囲_男!E9,胸囲_女!E9)</f>
        <v>0</v>
      </c>
      <c r="G17" t="s">
        <v>89</v>
      </c>
      <c r="H17">
        <f t="shared" si="1"/>
        <v>5.5</v>
      </c>
      <c r="I17">
        <f>IF(入力!$B$2="男",胸囲_男!I8,胸囲_女!I8)</f>
        <v>39.5</v>
      </c>
      <c r="J17">
        <f>IF(入力!$B$2="男",胸囲_男!J8,胸囲_女!J8)</f>
        <v>40.5</v>
      </c>
      <c r="K17">
        <f>IF(入力!$B$2="男",胸囲_男!K8,胸囲_女!K8)</f>
        <v>41.5</v>
      </c>
      <c r="L17">
        <f>IF(入力!$B$2="男",胸囲_男!L8,胸囲_女!L8)</f>
        <v>42.7</v>
      </c>
      <c r="M17">
        <f>IF(入力!$B$2="男",胸囲_男!M8,胸囲_女!M8)</f>
        <v>44</v>
      </c>
      <c r="N17">
        <f>IF(入力!$B$2="男",胸囲_男!N8,胸囲_女!N8)</f>
        <v>45.1</v>
      </c>
      <c r="O17">
        <f>IF(入力!$B$2="男",胸囲_男!O8,胸囲_女!O8)</f>
        <v>46.4</v>
      </c>
      <c r="Q17" t="s">
        <v>111</v>
      </c>
      <c r="R17">
        <v>0</v>
      </c>
      <c r="S17">
        <v>1</v>
      </c>
      <c r="T17">
        <f>IF(入力!$B$2="男",胸囲_男!T9,胸囲_女!T9)</f>
        <v>-4.3275099999999997E-3</v>
      </c>
      <c r="U17">
        <f>IF(入力!$B$2="男",胸囲_男!U9,胸囲_女!U9)</f>
        <v>1.5424800000000001E-2</v>
      </c>
      <c r="V17">
        <f>IF(入力!$B$2="男",胸囲_男!V9,胸囲_女!V9)</f>
        <v>-2.155E-2</v>
      </c>
      <c r="W17">
        <f>IF(入力!$B$2="男",胸囲_男!W9,胸囲_女!W9)</f>
        <v>5.3836000000000002E-2</v>
      </c>
    </row>
    <row r="18" spans="1:25" x14ac:dyDescent="0.15">
      <c r="A18">
        <v>0</v>
      </c>
      <c r="B18">
        <v>8</v>
      </c>
      <c r="C18">
        <f t="shared" si="0"/>
        <v>0.66666666666666663</v>
      </c>
      <c r="D18">
        <f>IF(胸囲データ!C10="男",胸囲_男!D10,胸囲_女!D10)</f>
        <v>0</v>
      </c>
      <c r="E18">
        <f>IF(胸囲データ!D10="男",胸囲_男!E10,胸囲_女!E10)</f>
        <v>0</v>
      </c>
      <c r="G18" t="s">
        <v>90</v>
      </c>
      <c r="H18">
        <f t="shared" si="1"/>
        <v>6.5</v>
      </c>
      <c r="I18">
        <f>IF(入力!$B$2="男",胸囲_男!I9,胸囲_女!I9)</f>
        <v>39.9</v>
      </c>
      <c r="J18">
        <f>IF(入力!$B$2="男",胸囲_男!J9,胸囲_女!J9)</f>
        <v>40.9</v>
      </c>
      <c r="K18">
        <f>IF(入力!$B$2="男",胸囲_男!K9,胸囲_女!K9)</f>
        <v>42</v>
      </c>
      <c r="L18">
        <f>IF(入力!$B$2="男",胸囲_男!L9,胸囲_女!L9)</f>
        <v>43.2</v>
      </c>
      <c r="M18">
        <f>IF(入力!$B$2="男",胸囲_男!M9,胸囲_女!M9)</f>
        <v>44.4</v>
      </c>
      <c r="N18">
        <f>IF(入力!$B$2="男",胸囲_男!N9,胸囲_女!N9)</f>
        <v>45.6</v>
      </c>
      <c r="O18">
        <f>IF(入力!$B$2="男",胸囲_男!O9,胸囲_女!O9)</f>
        <v>46.9</v>
      </c>
      <c r="R18">
        <v>1</v>
      </c>
      <c r="T18">
        <f>IF(入力!$B$2="男",胸囲_男!T10,胸囲_女!T10)</f>
        <v>-2.4883800000000003E-4</v>
      </c>
      <c r="U18">
        <f>IF(入力!$B$2="男",胸囲_男!U10,胸囲_女!U10)</f>
        <v>3.1887810000000003E-3</v>
      </c>
      <c r="V18">
        <f>IF(入力!$B$2="男",胸囲_男!V10,胸囲_女!V10)</f>
        <v>-9.3097900000000001E-3</v>
      </c>
      <c r="W18">
        <f>IF(入力!$B$2="男",胸囲_男!W10,胸囲_女!W10)</f>
        <v>4.9757611E-2</v>
      </c>
      <c r="X18">
        <v>6</v>
      </c>
      <c r="Y18">
        <f>T18*X18^3+U18*X18^2+V18*X18+W18</f>
        <v>5.4945979000000006E-2</v>
      </c>
    </row>
    <row r="19" spans="1:25" x14ac:dyDescent="0.15">
      <c r="A19">
        <v>0</v>
      </c>
      <c r="B19">
        <v>9</v>
      </c>
      <c r="C19">
        <f t="shared" si="0"/>
        <v>0.75</v>
      </c>
      <c r="D19">
        <f>IF(胸囲データ!C11="男",胸囲_男!D11,胸囲_女!D11)</f>
        <v>0</v>
      </c>
      <c r="E19">
        <f>IF(胸囲データ!D11="男",胸囲_男!E11,胸囲_女!E11)</f>
        <v>0</v>
      </c>
      <c r="G19" t="s">
        <v>91</v>
      </c>
      <c r="H19">
        <f t="shared" si="1"/>
        <v>7.5</v>
      </c>
      <c r="I19">
        <f>IF(入力!$B$2="男",胸囲_男!I10,胸囲_女!I10)</f>
        <v>40.299999999999997</v>
      </c>
      <c r="J19">
        <f>IF(入力!$B$2="男",胸囲_男!J10,胸囲_女!J10)</f>
        <v>41.3</v>
      </c>
      <c r="K19">
        <f>IF(入力!$B$2="男",胸囲_男!K10,胸囲_女!K10)</f>
        <v>42.4</v>
      </c>
      <c r="L19">
        <f>IF(入力!$B$2="男",胸囲_男!L10,胸囲_女!L10)</f>
        <v>43.6</v>
      </c>
      <c r="M19">
        <f>IF(入力!$B$2="男",胸囲_男!M10,胸囲_女!M10)</f>
        <v>44.8</v>
      </c>
      <c r="N19">
        <f>IF(入力!$B$2="男",胸囲_男!N10,胸囲_女!N10)</f>
        <v>46</v>
      </c>
      <c r="O19">
        <f>IF(入力!$B$2="男",胸囲_男!O10,胸囲_女!O10)</f>
        <v>47.3</v>
      </c>
    </row>
    <row r="20" spans="1:25" x14ac:dyDescent="0.15">
      <c r="A20">
        <v>0</v>
      </c>
      <c r="B20">
        <v>10</v>
      </c>
      <c r="C20">
        <f t="shared" si="0"/>
        <v>0.83333333333333337</v>
      </c>
      <c r="D20">
        <f>IF(胸囲データ!C12="男",胸囲_男!D12,胸囲_女!D12)</f>
        <v>0</v>
      </c>
      <c r="E20">
        <f>IF(胸囲データ!D12="男",胸囲_男!E12,胸囲_女!E12)</f>
        <v>0</v>
      </c>
      <c r="G20" t="s">
        <v>92</v>
      </c>
      <c r="H20">
        <f t="shared" si="1"/>
        <v>8.5</v>
      </c>
      <c r="I20">
        <f>IF(入力!$B$2="男",胸囲_男!I11,胸囲_女!I11)</f>
        <v>40.799999999999997</v>
      </c>
      <c r="J20">
        <f>IF(入力!$B$2="男",胸囲_男!J11,胸囲_女!J11)</f>
        <v>41.8</v>
      </c>
      <c r="K20">
        <f>IF(入力!$B$2="男",胸囲_男!K11,胸囲_女!K11)</f>
        <v>42.8</v>
      </c>
      <c r="L20">
        <f>IF(入力!$B$2="男",胸囲_男!L11,胸囲_女!L11)</f>
        <v>44</v>
      </c>
      <c r="M20">
        <f>IF(入力!$B$2="男",胸囲_男!M11,胸囲_女!M11)</f>
        <v>45.2</v>
      </c>
      <c r="N20">
        <f>IF(入力!$B$2="男",胸囲_男!N11,胸囲_女!N11)</f>
        <v>46.4</v>
      </c>
      <c r="O20">
        <f>IF(入力!$B$2="男",胸囲_男!O11,胸囲_女!O11)</f>
        <v>47.8</v>
      </c>
    </row>
    <row r="21" spans="1:25" x14ac:dyDescent="0.15">
      <c r="A21">
        <v>0</v>
      </c>
      <c r="B21">
        <v>11</v>
      </c>
      <c r="C21">
        <f t="shared" si="0"/>
        <v>0.91666666666666663</v>
      </c>
      <c r="D21">
        <f>IF(胸囲データ!C13="男",胸囲_男!D13,胸囲_女!D13)</f>
        <v>0</v>
      </c>
      <c r="E21">
        <f>IF(胸囲データ!D13="男",胸囲_男!E13,胸囲_女!E13)</f>
        <v>0</v>
      </c>
      <c r="G21" t="s">
        <v>93</v>
      </c>
      <c r="H21">
        <f t="shared" si="1"/>
        <v>9.5</v>
      </c>
      <c r="I21">
        <f>IF(入力!$B$2="男",胸囲_男!I12,胸囲_女!I12)</f>
        <v>41.1</v>
      </c>
      <c r="J21">
        <f>IF(入力!$B$2="男",胸囲_男!J12,胸囲_女!J12)</f>
        <v>42.1</v>
      </c>
      <c r="K21">
        <f>IF(入力!$B$2="男",胸囲_男!K12,胸囲_女!K12)</f>
        <v>43.1</v>
      </c>
      <c r="L21">
        <f>IF(入力!$B$2="男",胸囲_男!L12,胸囲_女!L12)</f>
        <v>44.3</v>
      </c>
      <c r="M21">
        <f>IF(入力!$B$2="男",胸囲_男!M12,胸囲_女!M12)</f>
        <v>45.5</v>
      </c>
      <c r="N21">
        <f>IF(入力!$B$2="男",胸囲_男!N12,胸囲_女!N12)</f>
        <v>46.7</v>
      </c>
      <c r="O21">
        <f>IF(入力!$B$2="男",胸囲_男!O12,胸囲_女!O12)</f>
        <v>48.1</v>
      </c>
    </row>
    <row r="22" spans="1:25" x14ac:dyDescent="0.15">
      <c r="A22">
        <v>1</v>
      </c>
      <c r="B22">
        <v>0</v>
      </c>
      <c r="C22">
        <f t="shared" si="0"/>
        <v>1</v>
      </c>
      <c r="D22">
        <f>IF(胸囲データ!C14="男",胸囲_男!D14,胸囲_女!D14)</f>
        <v>0</v>
      </c>
      <c r="E22">
        <f>IF(胸囲データ!D14="男",胸囲_男!E14,胸囲_女!E14)</f>
        <v>0</v>
      </c>
      <c r="G22" t="s">
        <v>94</v>
      </c>
      <c r="H22">
        <f t="shared" si="1"/>
        <v>10.5</v>
      </c>
      <c r="I22">
        <f>IF(入力!$B$2="男",胸囲_男!I13,胸囲_女!I13)</f>
        <v>41.3</v>
      </c>
      <c r="J22">
        <f>IF(入力!$B$2="男",胸囲_男!J13,胸囲_女!J13)</f>
        <v>42.3</v>
      </c>
      <c r="K22">
        <f>IF(入力!$B$2="男",胸囲_男!K13,胸囲_女!K13)</f>
        <v>43.4</v>
      </c>
      <c r="L22">
        <f>IF(入力!$B$2="男",胸囲_男!L13,胸囲_女!L13)</f>
        <v>44.6</v>
      </c>
      <c r="M22">
        <f>IF(入力!$B$2="男",胸囲_男!M13,胸囲_女!M13)</f>
        <v>45.8</v>
      </c>
      <c r="N22">
        <f>IF(入力!$B$2="男",胸囲_男!N13,胸囲_女!N13)</f>
        <v>47.1</v>
      </c>
      <c r="O22">
        <f>IF(入力!$B$2="男",胸囲_男!O13,胸囲_女!O13)</f>
        <v>48.4</v>
      </c>
    </row>
    <row r="23" spans="1:25" x14ac:dyDescent="0.15">
      <c r="A23">
        <v>1</v>
      </c>
      <c r="B23">
        <v>1</v>
      </c>
      <c r="C23">
        <f t="shared" si="0"/>
        <v>1.0833333333333333</v>
      </c>
      <c r="D23">
        <f>IF(胸囲データ!C15="男",胸囲_男!D15,胸囲_女!D15)</f>
        <v>0</v>
      </c>
      <c r="E23">
        <f>IF(胸囲データ!D15="男",胸囲_男!E15,胸囲_女!E15)</f>
        <v>0</v>
      </c>
      <c r="G23" t="s">
        <v>95</v>
      </c>
      <c r="H23">
        <f t="shared" si="1"/>
        <v>11.5</v>
      </c>
      <c r="I23">
        <f>IF(入力!$B$2="男",胸囲_男!I14,胸囲_女!I14)</f>
        <v>41.6</v>
      </c>
      <c r="J23">
        <f>IF(入力!$B$2="男",胸囲_男!J14,胸囲_女!J14)</f>
        <v>42.6</v>
      </c>
      <c r="K23">
        <f>IF(入力!$B$2="男",胸囲_男!K14,胸囲_女!K14)</f>
        <v>43.6</v>
      </c>
      <c r="L23">
        <f>IF(入力!$B$2="男",胸囲_男!L14,胸囲_女!L14)</f>
        <v>44.8</v>
      </c>
      <c r="M23">
        <f>IF(入力!$B$2="男",胸囲_男!M14,胸囲_女!M14)</f>
        <v>46.1</v>
      </c>
      <c r="N23">
        <f>IF(入力!$B$2="男",胸囲_男!N14,胸囲_女!N14)</f>
        <v>47.3</v>
      </c>
      <c r="O23">
        <f>IF(入力!$B$2="男",胸囲_男!O14,胸囲_女!O14)</f>
        <v>48.7</v>
      </c>
    </row>
    <row r="24" spans="1:25" x14ac:dyDescent="0.15">
      <c r="A24">
        <v>1</v>
      </c>
      <c r="B24">
        <v>2</v>
      </c>
      <c r="C24">
        <f t="shared" si="0"/>
        <v>1.1666666666666667</v>
      </c>
      <c r="D24">
        <f>IF(胸囲データ!C16="男",胸囲_男!D16,胸囲_女!D16)</f>
        <v>0</v>
      </c>
      <c r="E24">
        <f>IF(胸囲データ!D16="男",胸囲_男!E16,胸囲_女!E16)</f>
        <v>0</v>
      </c>
      <c r="G24" t="s">
        <v>96</v>
      </c>
      <c r="H24">
        <f t="shared" si="1"/>
        <v>12.5</v>
      </c>
      <c r="I24">
        <f>IF(入力!$B$2="男",胸囲_男!I15,胸囲_女!I15)</f>
        <v>41.8</v>
      </c>
      <c r="J24">
        <f>IF(入力!$B$2="男",胸囲_男!J15,胸囲_女!J15)</f>
        <v>42.8</v>
      </c>
      <c r="K24">
        <f>IF(入力!$B$2="男",胸囲_男!K15,胸囲_女!K15)</f>
        <v>43.9</v>
      </c>
      <c r="L24">
        <f>IF(入力!$B$2="男",胸囲_男!L15,胸囲_女!L15)</f>
        <v>45.1</v>
      </c>
      <c r="M24">
        <f>IF(入力!$B$2="男",胸囲_男!M15,胸囲_女!M15)</f>
        <v>46.4</v>
      </c>
      <c r="N24">
        <f>IF(入力!$B$2="男",胸囲_男!N15,胸囲_女!N15)</f>
        <v>47.7</v>
      </c>
      <c r="O24">
        <f>IF(入力!$B$2="男",胸囲_男!O15,胸囲_女!O15)</f>
        <v>49.1</v>
      </c>
    </row>
    <row r="25" spans="1:25" x14ac:dyDescent="0.15">
      <c r="A25">
        <v>1</v>
      </c>
      <c r="B25">
        <v>3</v>
      </c>
      <c r="C25">
        <f t="shared" si="0"/>
        <v>1.25</v>
      </c>
      <c r="D25">
        <f>IF(胸囲データ!C17="男",胸囲_男!D17,胸囲_女!D17)</f>
        <v>0</v>
      </c>
      <c r="E25">
        <f>IF(胸囲データ!D17="男",胸囲_男!E17,胸囲_女!E17)</f>
        <v>0</v>
      </c>
    </row>
    <row r="26" spans="1:25" x14ac:dyDescent="0.15">
      <c r="A26">
        <v>1</v>
      </c>
      <c r="B26">
        <v>4</v>
      </c>
      <c r="C26">
        <f t="shared" si="0"/>
        <v>1.3333333333333333</v>
      </c>
      <c r="D26">
        <f>IF(胸囲データ!C18="男",胸囲_男!D18,胸囲_女!D18)</f>
        <v>0</v>
      </c>
      <c r="E26">
        <f>IF(胸囲データ!D18="男",胸囲_男!E18,胸囲_女!E18)</f>
        <v>0</v>
      </c>
      <c r="H26" t="s">
        <v>130</v>
      </c>
      <c r="I26" t="s">
        <v>120</v>
      </c>
      <c r="J26" t="s">
        <v>121</v>
      </c>
      <c r="K26" t="s">
        <v>122</v>
      </c>
      <c r="L26" t="s">
        <v>123</v>
      </c>
      <c r="M26" t="s">
        <v>124</v>
      </c>
      <c r="N26" t="s">
        <v>125</v>
      </c>
      <c r="O26" t="s">
        <v>126</v>
      </c>
    </row>
    <row r="27" spans="1:25" x14ac:dyDescent="0.15">
      <c r="A27">
        <v>1</v>
      </c>
      <c r="B27">
        <v>5</v>
      </c>
      <c r="C27">
        <f t="shared" si="0"/>
        <v>1.4166666666666667</v>
      </c>
      <c r="D27">
        <f>IF(胸囲データ!C19="男",胸囲_男!D19,胸囲_女!D19)</f>
        <v>0</v>
      </c>
      <c r="E27">
        <f>IF(胸囲データ!D19="男",胸囲_男!E19,胸囲_女!E19)</f>
        <v>0</v>
      </c>
      <c r="G27" t="s">
        <v>95</v>
      </c>
      <c r="H27">
        <f>11.5/12</f>
        <v>0.95833333333333337</v>
      </c>
      <c r="I27">
        <f>IF(入力!$B$2="男",胸囲_男!I14,胸囲_女!I14)</f>
        <v>41.6</v>
      </c>
      <c r="J27">
        <f>IF(入力!$B$2="男",胸囲_男!J14,胸囲_女!J14)</f>
        <v>42.6</v>
      </c>
      <c r="K27">
        <f>IF(入力!$B$2="男",胸囲_男!K14,胸囲_女!K14)</f>
        <v>43.6</v>
      </c>
      <c r="L27">
        <f>IF(入力!$B$2="男",胸囲_男!L14,胸囲_女!L14)</f>
        <v>44.8</v>
      </c>
      <c r="M27">
        <f>IF(入力!$B$2="男",胸囲_男!M14,胸囲_女!M14)</f>
        <v>46.1</v>
      </c>
      <c r="N27">
        <f>IF(入力!$B$2="男",胸囲_男!N14,胸囲_女!N14)</f>
        <v>47.3</v>
      </c>
      <c r="O27">
        <f>IF(入力!$B$2="男",胸囲_男!O14,胸囲_女!O14)</f>
        <v>48.7</v>
      </c>
    </row>
    <row r="28" spans="1:25" x14ac:dyDescent="0.15">
      <c r="A28">
        <v>1</v>
      </c>
      <c r="B28">
        <v>6</v>
      </c>
      <c r="C28">
        <f t="shared" si="0"/>
        <v>1.5</v>
      </c>
      <c r="D28">
        <f>IF(胸囲データ!C20="男",胸囲_男!D20,胸囲_女!D20)</f>
        <v>0</v>
      </c>
      <c r="E28">
        <f>IF(胸囲データ!D20="男",胸囲_男!E20,胸囲_女!E20)</f>
        <v>0</v>
      </c>
      <c r="G28" t="s">
        <v>96</v>
      </c>
      <c r="H28">
        <f t="shared" ref="H28:H39" si="2">H27+1/12</f>
        <v>1.0416666666666667</v>
      </c>
      <c r="I28">
        <f>IF(入力!$B$2="男",胸囲_男!I15,胸囲_女!I15)</f>
        <v>41.8</v>
      </c>
      <c r="J28">
        <f>IF(入力!$B$2="男",胸囲_男!J15,胸囲_女!J15)</f>
        <v>42.8</v>
      </c>
      <c r="K28">
        <f>IF(入力!$B$2="男",胸囲_男!K15,胸囲_女!K15)</f>
        <v>43.9</v>
      </c>
      <c r="L28">
        <f>IF(入力!$B$2="男",胸囲_男!L15,胸囲_女!L15)</f>
        <v>45.1</v>
      </c>
      <c r="M28">
        <f>IF(入力!$B$2="男",胸囲_男!M15,胸囲_女!M15)</f>
        <v>46.4</v>
      </c>
      <c r="N28">
        <f>IF(入力!$B$2="男",胸囲_男!N15,胸囲_女!N15)</f>
        <v>47.7</v>
      </c>
      <c r="O28">
        <f>IF(入力!$B$2="男",胸囲_男!O15,胸囲_女!O15)</f>
        <v>49.1</v>
      </c>
    </row>
    <row r="29" spans="1:25" x14ac:dyDescent="0.15">
      <c r="A29">
        <v>1</v>
      </c>
      <c r="B29">
        <v>7</v>
      </c>
      <c r="C29">
        <f t="shared" si="0"/>
        <v>1.5833333333333335</v>
      </c>
      <c r="D29">
        <f>IF(胸囲データ!C21="男",胸囲_男!D21,胸囲_女!D21)</f>
        <v>0</v>
      </c>
      <c r="E29">
        <f>IF(胸囲データ!D21="男",胸囲_男!E21,胸囲_女!E21)</f>
        <v>0</v>
      </c>
      <c r="G29" t="s">
        <v>97</v>
      </c>
      <c r="H29">
        <f t="shared" si="2"/>
        <v>1.125</v>
      </c>
      <c r="I29">
        <f>IF(入力!$B$2="男",胸囲_男!I16,胸囲_女!I16)</f>
        <v>42.1</v>
      </c>
      <c r="J29">
        <f>IF(入力!$B$2="男",胸囲_男!J16,胸囲_女!J16)</f>
        <v>43.1</v>
      </c>
      <c r="K29">
        <f>IF(入力!$B$2="男",胸囲_男!K16,胸囲_女!K16)</f>
        <v>44.1</v>
      </c>
      <c r="L29">
        <f>IF(入力!$B$2="男",胸囲_男!L16,胸囲_女!L16)</f>
        <v>45.4</v>
      </c>
      <c r="M29">
        <f>IF(入力!$B$2="男",胸囲_男!M16,胸囲_女!M16)</f>
        <v>46.7</v>
      </c>
      <c r="N29">
        <f>IF(入力!$B$2="男",胸囲_男!N16,胸囲_女!N16)</f>
        <v>48</v>
      </c>
      <c r="O29">
        <f>IF(入力!$B$2="男",胸囲_男!O16,胸囲_女!O16)</f>
        <v>49.4</v>
      </c>
    </row>
    <row r="30" spans="1:25" x14ac:dyDescent="0.15">
      <c r="A30">
        <v>1</v>
      </c>
      <c r="B30">
        <v>8</v>
      </c>
      <c r="C30">
        <f t="shared" si="0"/>
        <v>1.6666666666666665</v>
      </c>
      <c r="D30">
        <f>IF(胸囲データ!C22="男",胸囲_男!D22,胸囲_女!D22)</f>
        <v>0</v>
      </c>
      <c r="E30">
        <f>IF(胸囲データ!D22="男",胸囲_男!E22,胸囲_女!E22)</f>
        <v>0</v>
      </c>
      <c r="G30" t="s">
        <v>86</v>
      </c>
      <c r="H30">
        <f t="shared" si="2"/>
        <v>1.2083333333333333</v>
      </c>
      <c r="I30">
        <f>IF(入力!$B$2="男",胸囲_男!I17,胸囲_女!I17)</f>
        <v>42.3</v>
      </c>
      <c r="J30">
        <f>IF(入力!$B$2="男",胸囲_男!J17,胸囲_女!J17)</f>
        <v>43.3</v>
      </c>
      <c r="K30">
        <f>IF(入力!$B$2="男",胸囲_男!K17,胸囲_女!K17)</f>
        <v>44.4</v>
      </c>
      <c r="L30">
        <f>IF(入力!$B$2="男",胸囲_男!L17,胸囲_女!L17)</f>
        <v>45.6</v>
      </c>
      <c r="M30">
        <f>IF(入力!$B$2="男",胸囲_男!M17,胸囲_女!M17)</f>
        <v>46.9</v>
      </c>
      <c r="N30">
        <f>IF(入力!$B$2="男",胸囲_男!N17,胸囲_女!N17)</f>
        <v>48.3</v>
      </c>
      <c r="O30">
        <f>IF(入力!$B$2="男",胸囲_男!O17,胸囲_女!O17)</f>
        <v>49.7</v>
      </c>
    </row>
    <row r="31" spans="1:25" x14ac:dyDescent="0.15">
      <c r="A31">
        <v>1</v>
      </c>
      <c r="B31">
        <v>9</v>
      </c>
      <c r="C31">
        <f t="shared" si="0"/>
        <v>1.75</v>
      </c>
      <c r="D31">
        <f>IF(胸囲データ!C23="男",胸囲_男!D23,胸囲_女!D23)</f>
        <v>0</v>
      </c>
      <c r="E31">
        <f>IF(胸囲データ!D23="男",胸囲_男!E23,胸囲_女!E23)</f>
        <v>0</v>
      </c>
      <c r="G31" t="s">
        <v>87</v>
      </c>
      <c r="H31">
        <f t="shared" si="2"/>
        <v>1.2916666666666665</v>
      </c>
      <c r="I31">
        <f>IF(入力!$B$2="男",胸囲_男!I18,胸囲_女!I18)</f>
        <v>42.5</v>
      </c>
      <c r="J31">
        <f>IF(入力!$B$2="男",胸囲_男!J18,胸囲_女!J18)</f>
        <v>43.5</v>
      </c>
      <c r="K31">
        <f>IF(入力!$B$2="男",胸囲_男!K18,胸囲_女!K18)</f>
        <v>44.6</v>
      </c>
      <c r="L31">
        <f>IF(入力!$B$2="男",胸囲_男!L18,胸囲_女!L18)</f>
        <v>45.8</v>
      </c>
      <c r="M31">
        <f>IF(入力!$B$2="男",胸囲_男!M18,胸囲_女!M18)</f>
        <v>47.2</v>
      </c>
      <c r="N31">
        <f>IF(入力!$B$2="男",胸囲_男!N18,胸囲_女!N18)</f>
        <v>48.5</v>
      </c>
      <c r="O31">
        <f>IF(入力!$B$2="男",胸囲_男!O18,胸囲_女!O18)</f>
        <v>49.9</v>
      </c>
    </row>
    <row r="32" spans="1:25" x14ac:dyDescent="0.15">
      <c r="A32">
        <v>1</v>
      </c>
      <c r="B32">
        <v>10</v>
      </c>
      <c r="C32">
        <f t="shared" si="0"/>
        <v>1.8333333333333335</v>
      </c>
      <c r="D32">
        <f>IF(胸囲データ!C24="男",胸囲_男!D24,胸囲_女!D24)</f>
        <v>0</v>
      </c>
      <c r="E32">
        <f>IF(胸囲データ!D24="男",胸囲_男!E24,胸囲_女!E24)</f>
        <v>0</v>
      </c>
      <c r="G32" t="s">
        <v>88</v>
      </c>
      <c r="H32">
        <f t="shared" si="2"/>
        <v>1.3749999999999998</v>
      </c>
      <c r="I32">
        <f>IF(入力!$B$2="男",胸囲_男!I19,胸囲_女!I19)</f>
        <v>42.7</v>
      </c>
      <c r="J32">
        <f>IF(入力!$B$2="男",胸囲_男!J19,胸囲_女!J19)</f>
        <v>43.7</v>
      </c>
      <c r="K32">
        <f>IF(入力!$B$2="男",胸囲_男!K19,胸囲_女!K19)</f>
        <v>44.8</v>
      </c>
      <c r="L32">
        <f>IF(入力!$B$2="男",胸囲_男!L19,胸囲_女!L19)</f>
        <v>46</v>
      </c>
      <c r="M32">
        <f>IF(入力!$B$2="男",胸囲_男!M19,胸囲_女!M19)</f>
        <v>47.4</v>
      </c>
      <c r="N32">
        <f>IF(入力!$B$2="男",胸囲_男!N19,胸囲_女!N19)</f>
        <v>48.8</v>
      </c>
      <c r="O32">
        <f>IF(入力!$B$2="男",胸囲_男!O19,胸囲_女!O19)</f>
        <v>50.1</v>
      </c>
    </row>
    <row r="33" spans="1:15" x14ac:dyDescent="0.15">
      <c r="A33">
        <v>1</v>
      </c>
      <c r="B33">
        <v>11</v>
      </c>
      <c r="C33">
        <f t="shared" si="0"/>
        <v>1.9166666666666665</v>
      </c>
      <c r="D33">
        <f>IF(胸囲データ!C25="男",胸囲_男!D25,胸囲_女!D25)</f>
        <v>0</v>
      </c>
      <c r="E33">
        <f>IF(胸囲データ!D25="男",胸囲_男!E25,胸囲_女!E25)</f>
        <v>0</v>
      </c>
      <c r="G33" t="s">
        <v>89</v>
      </c>
      <c r="H33">
        <f t="shared" si="2"/>
        <v>1.458333333333333</v>
      </c>
      <c r="I33">
        <f>IF(入力!$B$2="男",胸囲_男!I20,胸囲_女!I20)</f>
        <v>42.9</v>
      </c>
      <c r="J33">
        <f>IF(入力!$B$2="男",胸囲_男!J20,胸囲_女!J20)</f>
        <v>43.9</v>
      </c>
      <c r="K33">
        <f>IF(入力!$B$2="男",胸囲_男!K20,胸囲_女!K20)</f>
        <v>45</v>
      </c>
      <c r="L33">
        <f>IF(入力!$B$2="男",胸囲_男!L20,胸囲_女!L20)</f>
        <v>46.2</v>
      </c>
      <c r="M33">
        <f>IF(入力!$B$2="男",胸囲_男!M20,胸囲_女!M20)</f>
        <v>47.6</v>
      </c>
      <c r="N33">
        <f>IF(入力!$B$2="男",胸囲_男!N20,胸囲_女!N20)</f>
        <v>49</v>
      </c>
      <c r="O33">
        <f>IF(入力!$B$2="男",胸囲_男!O20,胸囲_女!O20)</f>
        <v>50.4</v>
      </c>
    </row>
    <row r="34" spans="1:15" x14ac:dyDescent="0.15">
      <c r="A34">
        <v>2</v>
      </c>
      <c r="B34">
        <v>0</v>
      </c>
      <c r="C34">
        <f t="shared" si="0"/>
        <v>2</v>
      </c>
      <c r="D34">
        <f>IF(胸囲データ!C26="男",胸囲_男!D26,胸囲_女!D26)</f>
        <v>0</v>
      </c>
      <c r="E34">
        <f>IF(胸囲データ!D26="男",胸囲_男!E26,胸囲_女!E26)</f>
        <v>0</v>
      </c>
      <c r="G34" t="s">
        <v>90</v>
      </c>
      <c r="H34">
        <f t="shared" si="2"/>
        <v>1.5416666666666663</v>
      </c>
      <c r="I34">
        <f>IF(入力!$B$2="男",胸囲_男!I21,胸囲_女!I21)</f>
        <v>43.1</v>
      </c>
      <c r="J34">
        <f>IF(入力!$B$2="男",胸囲_男!J21,胸囲_女!J21)</f>
        <v>44.1</v>
      </c>
      <c r="K34">
        <f>IF(入力!$B$2="男",胸囲_男!K21,胸囲_女!K21)</f>
        <v>45.2</v>
      </c>
      <c r="L34">
        <f>IF(入力!$B$2="男",胸囲_男!L21,胸囲_女!L21)</f>
        <v>46.5</v>
      </c>
      <c r="M34">
        <f>IF(入力!$B$2="男",胸囲_男!M21,胸囲_女!M21)</f>
        <v>47.8</v>
      </c>
      <c r="N34">
        <f>IF(入力!$B$2="男",胸囲_男!N21,胸囲_女!N21)</f>
        <v>49.2</v>
      </c>
      <c r="O34">
        <f>IF(入力!$B$2="男",胸囲_男!O21,胸囲_女!O21)</f>
        <v>50.6</v>
      </c>
    </row>
    <row r="35" spans="1:15" x14ac:dyDescent="0.15">
      <c r="A35">
        <v>2</v>
      </c>
      <c r="B35">
        <v>1</v>
      </c>
      <c r="C35">
        <f t="shared" si="0"/>
        <v>2.0833333333333335</v>
      </c>
      <c r="D35">
        <f>IF(胸囲データ!C27="男",胸囲_男!D27,胸囲_女!D27)</f>
        <v>0</v>
      </c>
      <c r="E35">
        <f>IF(胸囲データ!D27="男",胸囲_男!E27,胸囲_女!E27)</f>
        <v>0</v>
      </c>
      <c r="G35" t="s">
        <v>91</v>
      </c>
      <c r="H35">
        <f t="shared" si="2"/>
        <v>1.6249999999999996</v>
      </c>
      <c r="I35">
        <f>IF(入力!$B$2="男",胸囲_男!I22,胸囲_女!I22)</f>
        <v>43.3</v>
      </c>
      <c r="J35">
        <f>IF(入力!$B$2="男",胸囲_男!J22,胸囲_女!J22)</f>
        <v>44.3</v>
      </c>
      <c r="K35">
        <f>IF(入力!$B$2="男",胸囲_男!K22,胸囲_女!K22)</f>
        <v>45.4</v>
      </c>
      <c r="L35">
        <f>IF(入力!$B$2="男",胸囲_男!L22,胸囲_女!L22)</f>
        <v>46.7</v>
      </c>
      <c r="M35">
        <f>IF(入力!$B$2="男",胸囲_男!M22,胸囲_女!M22)</f>
        <v>48.1</v>
      </c>
      <c r="N35">
        <f>IF(入力!$B$2="男",胸囲_男!N22,胸囲_女!N22)</f>
        <v>49.5</v>
      </c>
      <c r="O35">
        <f>IF(入力!$B$2="男",胸囲_男!O22,胸囲_女!O22)</f>
        <v>50.9</v>
      </c>
    </row>
    <row r="36" spans="1:15" x14ac:dyDescent="0.15">
      <c r="A36">
        <v>2</v>
      </c>
      <c r="B36">
        <v>2</v>
      </c>
      <c r="C36">
        <f t="shared" si="0"/>
        <v>2.1666666666666665</v>
      </c>
      <c r="D36">
        <f>IF(胸囲データ!C28="男",胸囲_男!D28,胸囲_女!D28)</f>
        <v>0</v>
      </c>
      <c r="E36">
        <f>IF(胸囲データ!D28="男",胸囲_男!E28,胸囲_女!E28)</f>
        <v>0</v>
      </c>
      <c r="G36" t="s">
        <v>92</v>
      </c>
      <c r="H36">
        <f t="shared" si="2"/>
        <v>1.7083333333333328</v>
      </c>
      <c r="I36">
        <f>IF(入力!$B$2="男",胸囲_男!I23,胸囲_女!I23)</f>
        <v>43.5</v>
      </c>
      <c r="J36">
        <f>IF(入力!$B$2="男",胸囲_男!J23,胸囲_女!J23)</f>
        <v>44.5</v>
      </c>
      <c r="K36">
        <f>IF(入力!$B$2="男",胸囲_男!K23,胸囲_女!K23)</f>
        <v>45.6</v>
      </c>
      <c r="L36">
        <f>IF(入力!$B$2="男",胸囲_男!L23,胸囲_女!L23)</f>
        <v>46.9</v>
      </c>
      <c r="M36">
        <f>IF(入力!$B$2="男",胸囲_男!M23,胸囲_女!M23)</f>
        <v>48.3</v>
      </c>
      <c r="N36">
        <f>IF(入力!$B$2="男",胸囲_男!N23,胸囲_女!N23)</f>
        <v>49.7</v>
      </c>
      <c r="O36">
        <f>IF(入力!$B$2="男",胸囲_男!O23,胸囲_女!O23)</f>
        <v>51.1</v>
      </c>
    </row>
    <row r="37" spans="1:15" x14ac:dyDescent="0.15">
      <c r="A37">
        <v>2</v>
      </c>
      <c r="B37">
        <v>3</v>
      </c>
      <c r="C37">
        <f t="shared" si="0"/>
        <v>2.25</v>
      </c>
      <c r="D37">
        <f>IF(胸囲データ!C29="男",胸囲_男!D29,胸囲_女!D29)</f>
        <v>0</v>
      </c>
      <c r="E37">
        <f>IF(胸囲データ!D29="男",胸囲_男!E29,胸囲_女!E29)</f>
        <v>0</v>
      </c>
      <c r="G37" t="s">
        <v>93</v>
      </c>
      <c r="H37">
        <f t="shared" si="2"/>
        <v>1.7916666666666661</v>
      </c>
      <c r="I37">
        <f>IF(入力!$B$2="男",胸囲_男!I24,胸囲_女!I24)</f>
        <v>43.7</v>
      </c>
      <c r="J37">
        <f>IF(入力!$B$2="男",胸囲_男!J24,胸囲_女!J24)</f>
        <v>44.7</v>
      </c>
      <c r="K37">
        <f>IF(入力!$B$2="男",胸囲_男!K24,胸囲_女!K24)</f>
        <v>45.8</v>
      </c>
      <c r="L37">
        <f>IF(入力!$B$2="男",胸囲_男!L24,胸囲_女!L24)</f>
        <v>47.1</v>
      </c>
      <c r="M37">
        <f>IF(入力!$B$2="男",胸囲_男!M24,胸囲_女!M24)</f>
        <v>48.5</v>
      </c>
      <c r="N37">
        <f>IF(入力!$B$2="男",胸囲_男!N24,胸囲_女!N24)</f>
        <v>49.9</v>
      </c>
      <c r="O37">
        <f>IF(入力!$B$2="男",胸囲_男!O24,胸囲_女!O24)</f>
        <v>51.3</v>
      </c>
    </row>
    <row r="38" spans="1:15" x14ac:dyDescent="0.15">
      <c r="A38">
        <v>2</v>
      </c>
      <c r="B38">
        <v>4</v>
      </c>
      <c r="C38">
        <f t="shared" si="0"/>
        <v>2.3333333333333335</v>
      </c>
      <c r="D38">
        <f>IF(胸囲データ!C30="男",胸囲_男!D30,胸囲_女!D30)</f>
        <v>0</v>
      </c>
      <c r="E38">
        <f>IF(胸囲データ!D30="男",胸囲_男!E30,胸囲_女!E30)</f>
        <v>0</v>
      </c>
      <c r="G38" t="s">
        <v>94</v>
      </c>
      <c r="H38">
        <f t="shared" si="2"/>
        <v>1.8749999999999993</v>
      </c>
      <c r="I38">
        <f>IF(入力!$B$2="男",胸囲_男!I25,胸囲_女!I25)</f>
        <v>43.8</v>
      </c>
      <c r="J38">
        <f>IF(入力!$B$2="男",胸囲_男!J25,胸囲_女!J25)</f>
        <v>44.9</v>
      </c>
      <c r="K38">
        <f>IF(入力!$B$2="男",胸囲_男!K25,胸囲_女!K25)</f>
        <v>46</v>
      </c>
      <c r="L38">
        <f>IF(入力!$B$2="男",胸囲_男!L25,胸囲_女!L25)</f>
        <v>47.2</v>
      </c>
      <c r="M38">
        <f>IF(入力!$B$2="男",胸囲_男!M25,胸囲_女!M25)</f>
        <v>48.6</v>
      </c>
      <c r="N38">
        <f>IF(入力!$B$2="男",胸囲_男!N25,胸囲_女!N25)</f>
        <v>50.1</v>
      </c>
      <c r="O38">
        <f>IF(入力!$B$2="男",胸囲_男!O25,胸囲_女!O25)</f>
        <v>51.6</v>
      </c>
    </row>
    <row r="39" spans="1:15" x14ac:dyDescent="0.15">
      <c r="A39">
        <v>2</v>
      </c>
      <c r="B39">
        <v>5</v>
      </c>
      <c r="C39">
        <f t="shared" si="0"/>
        <v>2.4166666666666665</v>
      </c>
      <c r="D39">
        <f>IF(胸囲データ!C31="男",胸囲_男!D31,胸囲_女!D31)</f>
        <v>0</v>
      </c>
      <c r="E39">
        <f>IF(胸囲データ!D31="男",胸囲_男!E31,胸囲_女!E31)</f>
        <v>0</v>
      </c>
      <c r="G39" t="s">
        <v>95</v>
      </c>
      <c r="H39">
        <f t="shared" si="2"/>
        <v>1.9583333333333326</v>
      </c>
      <c r="I39">
        <f>IF(入力!$B$2="男",胸囲_男!I26,胸囲_女!I26)</f>
        <v>43.9</v>
      </c>
      <c r="J39">
        <f>IF(入力!$B$2="男",胸囲_男!J26,胸囲_女!J26)</f>
        <v>45</v>
      </c>
      <c r="K39">
        <f>IF(入力!$B$2="男",胸囲_男!K26,胸囲_女!K26)</f>
        <v>46.1</v>
      </c>
      <c r="L39">
        <f>IF(入力!$B$2="男",胸囲_男!L26,胸囲_女!L26)</f>
        <v>47.4</v>
      </c>
      <c r="M39">
        <f>IF(入力!$B$2="男",胸囲_男!M26,胸囲_女!M26)</f>
        <v>48.8</v>
      </c>
      <c r="N39">
        <f>IF(入力!$B$2="男",胸囲_男!N26,胸囲_女!N26)</f>
        <v>50.3</v>
      </c>
      <c r="O39">
        <f>IF(入力!$B$2="男",胸囲_男!O26,胸囲_女!O26)</f>
        <v>51.8</v>
      </c>
    </row>
    <row r="40" spans="1:15" x14ac:dyDescent="0.15">
      <c r="A40">
        <v>2</v>
      </c>
      <c r="B40">
        <v>6</v>
      </c>
      <c r="C40">
        <f t="shared" si="0"/>
        <v>2.5</v>
      </c>
      <c r="D40">
        <f>IF(胸囲データ!C32="男",胸囲_男!D32,胸囲_女!D32)</f>
        <v>0</v>
      </c>
      <c r="E40">
        <f>IF(胸囲データ!D32="男",胸囲_男!E32,胸囲_女!E32)</f>
        <v>0</v>
      </c>
      <c r="G40" t="s">
        <v>98</v>
      </c>
      <c r="H40">
        <f>2+3/12</f>
        <v>2.25</v>
      </c>
      <c r="I40">
        <f>IF(入力!$B$2="男",胸囲_男!I27,胸囲_女!I27)</f>
        <v>44.5</v>
      </c>
      <c r="J40">
        <f>IF(入力!$B$2="男",胸囲_男!J27,胸囲_女!J27)</f>
        <v>45.5</v>
      </c>
      <c r="K40">
        <f>IF(入力!$B$2="男",胸囲_男!K27,胸囲_女!K27)</f>
        <v>46.7</v>
      </c>
      <c r="L40">
        <f>IF(入力!$B$2="男",胸囲_男!L27,胸囲_女!L27)</f>
        <v>48</v>
      </c>
      <c r="M40">
        <f>IF(入力!$B$2="男",胸囲_男!M27,胸囲_女!M27)</f>
        <v>49.4</v>
      </c>
      <c r="N40">
        <f>IF(入力!$B$2="男",胸囲_男!N27,胸囲_女!N27)</f>
        <v>51</v>
      </c>
      <c r="O40">
        <f>IF(入力!$B$2="男",胸囲_男!O27,胸囲_女!O27)</f>
        <v>52.4</v>
      </c>
    </row>
    <row r="41" spans="1:15" x14ac:dyDescent="0.15">
      <c r="A41">
        <v>2</v>
      </c>
      <c r="B41">
        <v>7</v>
      </c>
      <c r="C41">
        <f t="shared" si="0"/>
        <v>2.5833333333333335</v>
      </c>
      <c r="D41">
        <f>IF(胸囲データ!C33="男",胸囲_男!D33,胸囲_女!D33)</f>
        <v>0</v>
      </c>
      <c r="E41">
        <f>IF(胸囲データ!D33="男",胸囲_男!E33,胸囲_女!E33)</f>
        <v>0</v>
      </c>
      <c r="G41" t="s">
        <v>99</v>
      </c>
      <c r="H41">
        <f t="shared" ref="H41:H48" si="3">H40+0.5</f>
        <v>2.75</v>
      </c>
      <c r="I41">
        <f>IF(入力!$B$2="男",胸囲_男!I28,胸囲_女!I28)</f>
        <v>45.2</v>
      </c>
      <c r="J41">
        <f>IF(入力!$B$2="男",胸囲_男!J28,胸囲_女!J28)</f>
        <v>46.3</v>
      </c>
      <c r="K41">
        <f>IF(入力!$B$2="男",胸囲_男!K28,胸囲_女!K28)</f>
        <v>47.5</v>
      </c>
      <c r="L41">
        <f>IF(入力!$B$2="男",胸囲_男!L28,胸囲_女!L28)</f>
        <v>48.9</v>
      </c>
      <c r="M41">
        <f>IF(入力!$B$2="男",胸囲_男!M28,胸囲_女!M28)</f>
        <v>50.3</v>
      </c>
      <c r="N41">
        <f>IF(入力!$B$2="男",胸囲_男!N28,胸囲_女!N28)</f>
        <v>52</v>
      </c>
      <c r="O41">
        <f>IF(入力!$B$2="男",胸囲_男!O28,胸囲_女!O28)</f>
        <v>53.6</v>
      </c>
    </row>
    <row r="42" spans="1:15" x14ac:dyDescent="0.15">
      <c r="A42">
        <v>2</v>
      </c>
      <c r="B42">
        <v>8</v>
      </c>
      <c r="C42">
        <f t="shared" si="0"/>
        <v>2.6666666666666665</v>
      </c>
      <c r="D42">
        <f>IF(胸囲データ!C34="男",胸囲_男!D34,胸囲_女!D34)</f>
        <v>0</v>
      </c>
      <c r="E42">
        <f>IF(胸囲データ!D34="男",胸囲_男!E34,胸囲_女!E34)</f>
        <v>0</v>
      </c>
      <c r="G42" t="s">
        <v>100</v>
      </c>
      <c r="H42">
        <f t="shared" si="3"/>
        <v>3.25</v>
      </c>
      <c r="I42">
        <f>IF(入力!$B$2="男",胸囲_男!I29,胸囲_女!I29)</f>
        <v>46</v>
      </c>
      <c r="J42">
        <f>IF(入力!$B$2="男",胸囲_男!J29,胸囲_女!J29)</f>
        <v>47.2</v>
      </c>
      <c r="K42">
        <f>IF(入力!$B$2="男",胸囲_男!K29,胸囲_女!K29)</f>
        <v>48.5</v>
      </c>
      <c r="L42">
        <f>IF(入力!$B$2="男",胸囲_男!L29,胸囲_女!L29)</f>
        <v>49.8</v>
      </c>
      <c r="M42">
        <f>IF(入力!$B$2="男",胸囲_男!M29,胸囲_女!M29)</f>
        <v>51.3</v>
      </c>
      <c r="N42">
        <f>IF(入力!$B$2="男",胸囲_男!N29,胸囲_女!N29)</f>
        <v>53.1</v>
      </c>
      <c r="O42">
        <f>IF(入力!$B$2="男",胸囲_男!O29,胸囲_女!O29)</f>
        <v>54.8</v>
      </c>
    </row>
    <row r="43" spans="1:15" x14ac:dyDescent="0.15">
      <c r="A43">
        <v>2</v>
      </c>
      <c r="B43">
        <v>9</v>
      </c>
      <c r="C43">
        <f t="shared" si="0"/>
        <v>2.75</v>
      </c>
      <c r="D43">
        <f>IF(胸囲データ!C35="男",胸囲_男!D35,胸囲_女!D35)</f>
        <v>0</v>
      </c>
      <c r="E43">
        <f>IF(胸囲データ!D35="男",胸囲_男!E35,胸囲_女!E35)</f>
        <v>0</v>
      </c>
      <c r="G43" t="s">
        <v>99</v>
      </c>
      <c r="H43">
        <f t="shared" si="3"/>
        <v>3.75</v>
      </c>
      <c r="I43">
        <f>IF(入力!$B$2="男",胸囲_男!I30,胸囲_女!I30)</f>
        <v>46.9</v>
      </c>
      <c r="J43">
        <f>IF(入力!$B$2="男",胸囲_男!J30,胸囲_女!J30)</f>
        <v>48.1</v>
      </c>
      <c r="K43">
        <f>IF(入力!$B$2="男",胸囲_男!K30,胸囲_女!K30)</f>
        <v>49.4</v>
      </c>
      <c r="L43">
        <f>IF(入力!$B$2="男",胸囲_男!L30,胸囲_女!L30)</f>
        <v>50.8</v>
      </c>
      <c r="M43">
        <f>IF(入力!$B$2="男",胸囲_男!M30,胸囲_女!M30)</f>
        <v>52.3</v>
      </c>
      <c r="N43">
        <f>IF(入力!$B$2="男",胸囲_男!N30,胸囲_女!N30)</f>
        <v>54.2</v>
      </c>
      <c r="O43">
        <f>IF(入力!$B$2="男",胸囲_男!O30,胸囲_女!O30)</f>
        <v>56</v>
      </c>
    </row>
    <row r="44" spans="1:15" x14ac:dyDescent="0.15">
      <c r="A44">
        <v>2</v>
      </c>
      <c r="B44">
        <v>10</v>
      </c>
      <c r="C44">
        <f t="shared" si="0"/>
        <v>2.8333333333333335</v>
      </c>
      <c r="D44">
        <f>IF(胸囲データ!C36="男",胸囲_男!D36,胸囲_女!D36)</f>
        <v>0</v>
      </c>
      <c r="E44">
        <f>IF(胸囲データ!D36="男",胸囲_男!E36,胸囲_女!E36)</f>
        <v>0</v>
      </c>
      <c r="G44" t="s">
        <v>101</v>
      </c>
      <c r="H44">
        <f t="shared" si="3"/>
        <v>4.25</v>
      </c>
      <c r="I44">
        <f>IF(入力!$B$2="男",胸囲_男!I31,胸囲_女!I31)</f>
        <v>47.8</v>
      </c>
      <c r="J44">
        <f>IF(入力!$B$2="男",胸囲_男!J31,胸囲_女!J31)</f>
        <v>49</v>
      </c>
      <c r="K44">
        <f>IF(入力!$B$2="男",胸囲_男!K31,胸囲_女!K31)</f>
        <v>50.4</v>
      </c>
      <c r="L44">
        <f>IF(入力!$B$2="男",胸囲_男!L31,胸囲_女!L31)</f>
        <v>51.8</v>
      </c>
      <c r="M44">
        <f>IF(入力!$B$2="男",胸囲_男!M31,胸囲_女!M31)</f>
        <v>53.3</v>
      </c>
      <c r="N44">
        <f>IF(入力!$B$2="男",胸囲_男!N31,胸囲_女!N31)</f>
        <v>55.4</v>
      </c>
      <c r="O44">
        <f>IF(入力!$B$2="男",胸囲_男!O31,胸囲_女!O31)</f>
        <v>57.6</v>
      </c>
    </row>
    <row r="45" spans="1:15" x14ac:dyDescent="0.15">
      <c r="A45">
        <v>2</v>
      </c>
      <c r="B45">
        <v>11</v>
      </c>
      <c r="C45">
        <f t="shared" si="0"/>
        <v>2.9166666666666665</v>
      </c>
      <c r="D45">
        <f>IF(胸囲データ!C37="男",胸囲_男!D37,胸囲_女!D37)</f>
        <v>0</v>
      </c>
      <c r="E45">
        <f>IF(胸囲データ!D37="男",胸囲_男!E37,胸囲_女!E37)</f>
        <v>0</v>
      </c>
      <c r="G45" t="s">
        <v>99</v>
      </c>
      <c r="H45">
        <f t="shared" si="3"/>
        <v>4.75</v>
      </c>
      <c r="I45">
        <f>IF(入力!$B$2="男",胸囲_男!I32,胸囲_女!I32)</f>
        <v>48.7</v>
      </c>
      <c r="J45">
        <f>IF(入力!$B$2="男",胸囲_男!J32,胸囲_女!J32)</f>
        <v>49.9</v>
      </c>
      <c r="K45">
        <f>IF(入力!$B$2="男",胸囲_男!K32,胸囲_女!K32)</f>
        <v>51.3</v>
      </c>
      <c r="L45">
        <f>IF(入力!$B$2="男",胸囲_男!L32,胸囲_女!L32)</f>
        <v>52.7</v>
      </c>
      <c r="M45">
        <f>IF(入力!$B$2="男",胸囲_男!M32,胸囲_女!M32)</f>
        <v>54.4</v>
      </c>
      <c r="N45">
        <f>IF(入力!$B$2="男",胸囲_男!N32,胸囲_女!N32)</f>
        <v>56.7</v>
      </c>
      <c r="O45">
        <f>IF(入力!$B$2="男",胸囲_男!O32,胸囲_女!O32)</f>
        <v>59.1</v>
      </c>
    </row>
    <row r="46" spans="1:15" x14ac:dyDescent="0.15">
      <c r="A46">
        <v>3</v>
      </c>
      <c r="B46">
        <v>0</v>
      </c>
      <c r="C46">
        <f t="shared" si="0"/>
        <v>3</v>
      </c>
      <c r="D46">
        <f>IF(胸囲データ!C38="男",胸囲_男!D38,胸囲_女!D38)</f>
        <v>0</v>
      </c>
      <c r="E46">
        <f>IF(胸囲データ!D38="男",胸囲_男!E38,胸囲_女!E38)</f>
        <v>0</v>
      </c>
      <c r="G46" t="s">
        <v>102</v>
      </c>
      <c r="H46">
        <f t="shared" si="3"/>
        <v>5.25</v>
      </c>
      <c r="I46">
        <f>IF(入力!$B$2="男",胸囲_男!I33,胸囲_女!I33)</f>
        <v>49.5</v>
      </c>
      <c r="J46">
        <f>IF(入力!$B$2="男",胸囲_男!J33,胸囲_女!J33)</f>
        <v>50.8</v>
      </c>
      <c r="K46">
        <f>IF(入力!$B$2="男",胸囲_男!K33,胸囲_女!K33)</f>
        <v>52.2</v>
      </c>
      <c r="L46">
        <f>IF(入力!$B$2="男",胸囲_男!L33,胸囲_女!L33)</f>
        <v>53.7</v>
      </c>
      <c r="M46">
        <f>IF(入力!$B$2="男",胸囲_男!M33,胸囲_女!M33)</f>
        <v>55.5</v>
      </c>
      <c r="N46">
        <f>IF(入力!$B$2="男",胸囲_男!N33,胸囲_女!N33)</f>
        <v>58</v>
      </c>
      <c r="O46">
        <f>IF(入力!$B$2="男",胸囲_男!O33,胸囲_女!O33)</f>
        <v>60.6</v>
      </c>
    </row>
    <row r="47" spans="1:15" x14ac:dyDescent="0.15">
      <c r="A47">
        <v>3</v>
      </c>
      <c r="B47">
        <v>1</v>
      </c>
      <c r="C47">
        <f t="shared" si="0"/>
        <v>3.0833333333333335</v>
      </c>
      <c r="D47">
        <f>IF(胸囲データ!C39="男",胸囲_男!D39,胸囲_女!D39)</f>
        <v>0</v>
      </c>
      <c r="E47">
        <f>IF(胸囲データ!D39="男",胸囲_男!E39,胸囲_女!E39)</f>
        <v>0</v>
      </c>
      <c r="G47" t="s">
        <v>99</v>
      </c>
      <c r="H47">
        <f t="shared" si="3"/>
        <v>5.75</v>
      </c>
      <c r="I47">
        <f>IF(入力!$B$2="男",胸囲_男!I34,胸囲_女!I34)</f>
        <v>50.4</v>
      </c>
      <c r="J47">
        <f>IF(入力!$B$2="男",胸囲_男!J34,胸囲_女!J34)</f>
        <v>51.7</v>
      </c>
      <c r="K47">
        <f>IF(入力!$B$2="男",胸囲_男!K34,胸囲_女!K34)</f>
        <v>53.1</v>
      </c>
      <c r="L47">
        <f>IF(入力!$B$2="男",胸囲_男!L34,胸囲_女!L34)</f>
        <v>54.6</v>
      </c>
      <c r="M47">
        <f>IF(入力!$B$2="男",胸囲_男!M34,胸囲_女!M34)</f>
        <v>56.7</v>
      </c>
      <c r="N47">
        <f>IF(入力!$B$2="男",胸囲_男!N34,胸囲_女!N34)</f>
        <v>59.3</v>
      </c>
      <c r="O47">
        <f>IF(入力!$B$2="男",胸囲_男!O34,胸囲_女!O34)</f>
        <v>62.1</v>
      </c>
    </row>
    <row r="48" spans="1:15" x14ac:dyDescent="0.15">
      <c r="A48">
        <v>3</v>
      </c>
      <c r="B48">
        <v>2</v>
      </c>
      <c r="C48">
        <f t="shared" si="0"/>
        <v>3.1666666666666665</v>
      </c>
      <c r="D48">
        <f>IF(胸囲データ!C40="男",胸囲_男!D40,胸囲_女!D40)</f>
        <v>0</v>
      </c>
      <c r="E48">
        <f>IF(胸囲データ!D40="男",胸囲_男!E40,胸囲_女!E40)</f>
        <v>0</v>
      </c>
      <c r="G48" t="s">
        <v>103</v>
      </c>
      <c r="H48">
        <f t="shared" si="3"/>
        <v>6.25</v>
      </c>
      <c r="I48">
        <f>IF(入力!$B$2="男",胸囲_男!I35,胸囲_女!I35)</f>
        <v>51.3</v>
      </c>
      <c r="J48">
        <f>IF(入力!$B$2="男",胸囲_男!J35,胸囲_女!J35)</f>
        <v>52.6</v>
      </c>
      <c r="K48">
        <f>IF(入力!$B$2="男",胸囲_男!K35,胸囲_女!K35)</f>
        <v>54.1</v>
      </c>
      <c r="L48">
        <f>IF(入力!$B$2="男",胸囲_男!L35,胸囲_女!L35)</f>
        <v>55.7</v>
      </c>
      <c r="M48">
        <f>IF(入力!$B$2="男",胸囲_男!M35,胸囲_女!M35)</f>
        <v>57.9</v>
      </c>
      <c r="N48">
        <f>IF(入力!$B$2="男",胸囲_男!N35,胸囲_女!N35)</f>
        <v>60.7</v>
      </c>
      <c r="O48">
        <f>IF(入力!$B$2="男",胸囲_男!O35,胸囲_女!O35)</f>
        <v>63.6</v>
      </c>
    </row>
    <row r="49" spans="1:5" x14ac:dyDescent="0.15">
      <c r="A49">
        <v>3</v>
      </c>
      <c r="B49">
        <v>3</v>
      </c>
      <c r="C49">
        <f t="shared" si="0"/>
        <v>3.25</v>
      </c>
      <c r="D49">
        <f>IF(胸囲データ!C41="男",胸囲_男!D41,胸囲_女!D41)</f>
        <v>0</v>
      </c>
      <c r="E49">
        <f>IF(胸囲データ!D41="男",胸囲_男!E41,胸囲_女!E41)</f>
        <v>0</v>
      </c>
    </row>
    <row r="50" spans="1:5" x14ac:dyDescent="0.15">
      <c r="A50">
        <v>3</v>
      </c>
      <c r="B50">
        <v>4</v>
      </c>
      <c r="C50">
        <f t="shared" si="0"/>
        <v>3.3333333333333335</v>
      </c>
      <c r="D50">
        <f>IF(胸囲データ!C42="男",胸囲_男!D42,胸囲_女!D42)</f>
        <v>0</v>
      </c>
      <c r="E50">
        <f>IF(胸囲データ!D42="男",胸囲_男!E42,胸囲_女!E42)</f>
        <v>0</v>
      </c>
    </row>
    <row r="51" spans="1:5" x14ac:dyDescent="0.15">
      <c r="A51">
        <v>3</v>
      </c>
      <c r="B51">
        <v>5</v>
      </c>
      <c r="C51">
        <f t="shared" si="0"/>
        <v>3.4166666666666665</v>
      </c>
      <c r="D51">
        <f>IF(胸囲データ!C43="男",胸囲_男!D43,胸囲_女!D43)</f>
        <v>0</v>
      </c>
      <c r="E51">
        <f>IF(胸囲データ!D43="男",胸囲_男!E43,胸囲_女!E43)</f>
        <v>0</v>
      </c>
    </row>
    <row r="52" spans="1:5" x14ac:dyDescent="0.15">
      <c r="A52">
        <v>3</v>
      </c>
      <c r="B52">
        <v>6</v>
      </c>
      <c r="C52">
        <f t="shared" si="0"/>
        <v>3.5</v>
      </c>
      <c r="D52">
        <f>IF(胸囲データ!C44="男",胸囲_男!D44,胸囲_女!D44)</f>
        <v>0</v>
      </c>
      <c r="E52">
        <f>IF(胸囲データ!D44="男",胸囲_男!E44,胸囲_女!E44)</f>
        <v>0</v>
      </c>
    </row>
    <row r="53" spans="1:5" x14ac:dyDescent="0.15">
      <c r="A53">
        <v>3</v>
      </c>
      <c r="B53">
        <v>7</v>
      </c>
      <c r="C53">
        <f t="shared" si="0"/>
        <v>3.5833333333333335</v>
      </c>
      <c r="D53">
        <f>IF(胸囲データ!C45="男",胸囲_男!D45,胸囲_女!D45)</f>
        <v>0</v>
      </c>
      <c r="E53">
        <f>IF(胸囲データ!D45="男",胸囲_男!E45,胸囲_女!E45)</f>
        <v>0</v>
      </c>
    </row>
    <row r="54" spans="1:5" x14ac:dyDescent="0.15">
      <c r="A54">
        <v>3</v>
      </c>
      <c r="B54">
        <v>8</v>
      </c>
      <c r="C54">
        <f t="shared" si="0"/>
        <v>3.6666666666666665</v>
      </c>
      <c r="D54">
        <f>IF(胸囲データ!C46="男",胸囲_男!D46,胸囲_女!D46)</f>
        <v>0</v>
      </c>
      <c r="E54">
        <f>IF(胸囲データ!D46="男",胸囲_男!E46,胸囲_女!E46)</f>
        <v>0</v>
      </c>
    </row>
    <row r="55" spans="1:5" x14ac:dyDescent="0.15">
      <c r="A55">
        <v>3</v>
      </c>
      <c r="B55">
        <v>9</v>
      </c>
      <c r="C55">
        <f t="shared" si="0"/>
        <v>3.75</v>
      </c>
      <c r="D55">
        <f>IF(胸囲データ!C47="男",胸囲_男!D47,胸囲_女!D47)</f>
        <v>0</v>
      </c>
      <c r="E55">
        <f>IF(胸囲データ!D47="男",胸囲_男!E47,胸囲_女!E47)</f>
        <v>0</v>
      </c>
    </row>
    <row r="56" spans="1:5" x14ac:dyDescent="0.15">
      <c r="A56">
        <v>3</v>
      </c>
      <c r="B56">
        <v>10</v>
      </c>
      <c r="C56">
        <f t="shared" si="0"/>
        <v>3.8333333333333335</v>
      </c>
      <c r="D56">
        <f>IF(胸囲データ!C48="男",胸囲_男!D48,胸囲_女!D48)</f>
        <v>0</v>
      </c>
      <c r="E56">
        <f>IF(胸囲データ!D48="男",胸囲_男!E48,胸囲_女!E48)</f>
        <v>0</v>
      </c>
    </row>
    <row r="57" spans="1:5" x14ac:dyDescent="0.15">
      <c r="A57">
        <v>3</v>
      </c>
      <c r="B57">
        <v>11</v>
      </c>
      <c r="C57">
        <f t="shared" si="0"/>
        <v>3.9166666666666665</v>
      </c>
      <c r="D57">
        <f>IF(胸囲データ!C49="男",胸囲_男!D49,胸囲_女!D49)</f>
        <v>0</v>
      </c>
      <c r="E57">
        <f>IF(胸囲データ!D49="男",胸囲_男!E49,胸囲_女!E49)</f>
        <v>0</v>
      </c>
    </row>
    <row r="58" spans="1:5" x14ac:dyDescent="0.15">
      <c r="A58">
        <v>4</v>
      </c>
      <c r="B58">
        <v>0</v>
      </c>
      <c r="C58">
        <f t="shared" si="0"/>
        <v>4</v>
      </c>
      <c r="D58">
        <f>IF(胸囲データ!C50="男",胸囲_男!D50,胸囲_女!D50)</f>
        <v>0</v>
      </c>
      <c r="E58">
        <f>IF(胸囲データ!D50="男",胸囲_男!E50,胸囲_女!E50)</f>
        <v>0</v>
      </c>
    </row>
    <row r="59" spans="1:5" x14ac:dyDescent="0.15">
      <c r="A59">
        <v>4</v>
      </c>
      <c r="B59">
        <v>1</v>
      </c>
      <c r="C59">
        <f t="shared" si="0"/>
        <v>4.083333333333333</v>
      </c>
      <c r="D59">
        <f>IF(胸囲データ!C51="男",胸囲_男!D51,胸囲_女!D51)</f>
        <v>0</v>
      </c>
      <c r="E59">
        <f>IF(胸囲データ!D51="男",胸囲_男!E51,胸囲_女!E51)</f>
        <v>0</v>
      </c>
    </row>
    <row r="60" spans="1:5" x14ac:dyDescent="0.15">
      <c r="A60">
        <v>4</v>
      </c>
      <c r="B60">
        <v>2</v>
      </c>
      <c r="C60">
        <f t="shared" si="0"/>
        <v>4.166666666666667</v>
      </c>
      <c r="D60">
        <f>IF(胸囲データ!C52="男",胸囲_男!D52,胸囲_女!D52)</f>
        <v>0</v>
      </c>
      <c r="E60">
        <f>IF(胸囲データ!D52="男",胸囲_男!E52,胸囲_女!E52)</f>
        <v>0</v>
      </c>
    </row>
    <row r="61" spans="1:5" x14ac:dyDescent="0.15">
      <c r="A61">
        <v>4</v>
      </c>
      <c r="B61">
        <v>3</v>
      </c>
      <c r="C61">
        <f t="shared" si="0"/>
        <v>4.25</v>
      </c>
      <c r="D61">
        <f>IF(胸囲データ!C53="男",胸囲_男!D53,胸囲_女!D53)</f>
        <v>0</v>
      </c>
      <c r="E61">
        <f>IF(胸囲データ!D53="男",胸囲_男!E53,胸囲_女!E53)</f>
        <v>0</v>
      </c>
    </row>
    <row r="62" spans="1:5" x14ac:dyDescent="0.15">
      <c r="A62">
        <v>4</v>
      </c>
      <c r="B62">
        <v>4</v>
      </c>
      <c r="C62">
        <f t="shared" si="0"/>
        <v>4.333333333333333</v>
      </c>
      <c r="D62">
        <f>IF(胸囲データ!C54="男",胸囲_男!D54,胸囲_女!D54)</f>
        <v>0</v>
      </c>
      <c r="E62">
        <f>IF(胸囲データ!D54="男",胸囲_男!E54,胸囲_女!E54)</f>
        <v>0</v>
      </c>
    </row>
    <row r="63" spans="1:5" x14ac:dyDescent="0.15">
      <c r="A63">
        <v>4</v>
      </c>
      <c r="B63">
        <v>5</v>
      </c>
      <c r="C63">
        <f t="shared" si="0"/>
        <v>4.416666666666667</v>
      </c>
      <c r="D63">
        <f>IF(胸囲データ!C55="男",胸囲_男!D55,胸囲_女!D55)</f>
        <v>0</v>
      </c>
      <c r="E63">
        <f>IF(胸囲データ!D55="男",胸囲_男!E55,胸囲_女!E55)</f>
        <v>0</v>
      </c>
    </row>
    <row r="64" spans="1:5" x14ac:dyDescent="0.15">
      <c r="A64">
        <v>4</v>
      </c>
      <c r="B64">
        <v>6</v>
      </c>
      <c r="C64">
        <f t="shared" si="0"/>
        <v>4.5</v>
      </c>
      <c r="D64">
        <f>IF(胸囲データ!C56="男",胸囲_男!D56,胸囲_女!D56)</f>
        <v>0</v>
      </c>
      <c r="E64">
        <f>IF(胸囲データ!D56="男",胸囲_男!E56,胸囲_女!E56)</f>
        <v>0</v>
      </c>
    </row>
    <row r="65" spans="1:5" x14ac:dyDescent="0.15">
      <c r="A65">
        <v>4</v>
      </c>
      <c r="B65">
        <v>7</v>
      </c>
      <c r="C65">
        <f t="shared" si="0"/>
        <v>4.583333333333333</v>
      </c>
      <c r="D65">
        <f>IF(胸囲データ!C57="男",胸囲_男!D57,胸囲_女!D57)</f>
        <v>0</v>
      </c>
      <c r="E65">
        <f>IF(胸囲データ!D57="男",胸囲_男!E57,胸囲_女!E57)</f>
        <v>0</v>
      </c>
    </row>
    <row r="66" spans="1:5" x14ac:dyDescent="0.15">
      <c r="A66">
        <v>4</v>
      </c>
      <c r="B66">
        <v>8</v>
      </c>
      <c r="C66">
        <f t="shared" si="0"/>
        <v>4.666666666666667</v>
      </c>
      <c r="D66">
        <f>IF(胸囲データ!C58="男",胸囲_男!D58,胸囲_女!D58)</f>
        <v>0</v>
      </c>
      <c r="E66">
        <f>IF(胸囲データ!D58="男",胸囲_男!E58,胸囲_女!E58)</f>
        <v>0</v>
      </c>
    </row>
    <row r="67" spans="1:5" x14ac:dyDescent="0.15">
      <c r="A67">
        <v>4</v>
      </c>
      <c r="B67">
        <v>9</v>
      </c>
      <c r="C67">
        <f t="shared" si="0"/>
        <v>4.75</v>
      </c>
      <c r="D67">
        <f>IF(胸囲データ!C59="男",胸囲_男!D59,胸囲_女!D59)</f>
        <v>0</v>
      </c>
      <c r="E67">
        <f>IF(胸囲データ!D59="男",胸囲_男!E59,胸囲_女!E59)</f>
        <v>0</v>
      </c>
    </row>
    <row r="68" spans="1:5" x14ac:dyDescent="0.15">
      <c r="A68">
        <v>4</v>
      </c>
      <c r="B68">
        <v>10</v>
      </c>
      <c r="C68">
        <f t="shared" si="0"/>
        <v>4.833333333333333</v>
      </c>
      <c r="D68">
        <f>IF(胸囲データ!C60="男",胸囲_男!D60,胸囲_女!D60)</f>
        <v>0</v>
      </c>
      <c r="E68">
        <f>IF(胸囲データ!D60="男",胸囲_男!E60,胸囲_女!E60)</f>
        <v>0</v>
      </c>
    </row>
    <row r="69" spans="1:5" x14ac:dyDescent="0.15">
      <c r="A69">
        <v>4</v>
      </c>
      <c r="B69">
        <v>11</v>
      </c>
      <c r="C69">
        <f t="shared" si="0"/>
        <v>4.916666666666667</v>
      </c>
      <c r="D69">
        <f>IF(胸囲データ!C61="男",胸囲_男!D61,胸囲_女!D61)</f>
        <v>0</v>
      </c>
      <c r="E69">
        <f>IF(胸囲データ!D61="男",胸囲_男!E61,胸囲_女!E61)</f>
        <v>0</v>
      </c>
    </row>
    <row r="70" spans="1:5" x14ac:dyDescent="0.15">
      <c r="A70">
        <v>5</v>
      </c>
      <c r="B70">
        <v>0</v>
      </c>
      <c r="C70">
        <f t="shared" si="0"/>
        <v>5</v>
      </c>
      <c r="D70">
        <f>IF(胸囲データ!C62="男",胸囲_男!D62,胸囲_女!D62)</f>
        <v>0</v>
      </c>
      <c r="E70">
        <f>IF(胸囲データ!D62="男",胸囲_男!E62,胸囲_女!E62)</f>
        <v>0</v>
      </c>
    </row>
    <row r="71" spans="1:5" x14ac:dyDescent="0.15">
      <c r="A71">
        <v>5</v>
      </c>
      <c r="B71">
        <v>1</v>
      </c>
      <c r="C71">
        <f t="shared" si="0"/>
        <v>5.083333333333333</v>
      </c>
      <c r="D71">
        <f>IF(胸囲データ!C63="男",胸囲_男!D63,胸囲_女!D63)</f>
        <v>0</v>
      </c>
      <c r="E71">
        <f>IF(胸囲データ!D63="男",胸囲_男!E63,胸囲_女!E63)</f>
        <v>0</v>
      </c>
    </row>
    <row r="72" spans="1:5" x14ac:dyDescent="0.15">
      <c r="A72">
        <v>5</v>
      </c>
      <c r="B72">
        <v>2</v>
      </c>
      <c r="C72">
        <f t="shared" si="0"/>
        <v>5.166666666666667</v>
      </c>
      <c r="D72">
        <f>IF(胸囲データ!C64="男",胸囲_男!D64,胸囲_女!D64)</f>
        <v>0</v>
      </c>
      <c r="E72">
        <f>IF(胸囲データ!D64="男",胸囲_男!E64,胸囲_女!E64)</f>
        <v>0</v>
      </c>
    </row>
    <row r="73" spans="1:5" x14ac:dyDescent="0.15">
      <c r="A73">
        <v>5</v>
      </c>
      <c r="B73">
        <v>3</v>
      </c>
      <c r="C73">
        <f t="shared" si="0"/>
        <v>5.25</v>
      </c>
      <c r="D73">
        <f>IF(胸囲データ!C65="男",胸囲_男!D65,胸囲_女!D65)</f>
        <v>0</v>
      </c>
      <c r="E73">
        <f>IF(胸囲データ!D65="男",胸囲_男!E65,胸囲_女!E65)</f>
        <v>0</v>
      </c>
    </row>
    <row r="74" spans="1:5" x14ac:dyDescent="0.15">
      <c r="A74">
        <v>5</v>
      </c>
      <c r="B74">
        <v>4</v>
      </c>
      <c r="C74">
        <f t="shared" si="0"/>
        <v>5.333333333333333</v>
      </c>
      <c r="D74">
        <f>IF(胸囲データ!C66="男",胸囲_男!D66,胸囲_女!D66)</f>
        <v>0</v>
      </c>
      <c r="E74">
        <f>IF(胸囲データ!D66="男",胸囲_男!E66,胸囲_女!E66)</f>
        <v>0</v>
      </c>
    </row>
    <row r="75" spans="1:5" x14ac:dyDescent="0.15">
      <c r="A75">
        <v>5</v>
      </c>
      <c r="B75">
        <v>5</v>
      </c>
      <c r="C75">
        <f t="shared" ref="C75:C85" si="4">A75+B75/12</f>
        <v>5.416666666666667</v>
      </c>
      <c r="D75">
        <f>IF(胸囲データ!C67="男",胸囲_男!D67,胸囲_女!D67)</f>
        <v>0</v>
      </c>
      <c r="E75">
        <f>IF(胸囲データ!D67="男",胸囲_男!E67,胸囲_女!E67)</f>
        <v>0</v>
      </c>
    </row>
    <row r="76" spans="1:5" x14ac:dyDescent="0.15">
      <c r="A76">
        <v>5</v>
      </c>
      <c r="B76">
        <v>6</v>
      </c>
      <c r="C76">
        <f t="shared" si="4"/>
        <v>5.5</v>
      </c>
      <c r="D76">
        <f>IF(胸囲データ!C68="男",胸囲_男!D68,胸囲_女!D68)</f>
        <v>0</v>
      </c>
      <c r="E76">
        <f>IF(胸囲データ!D68="男",胸囲_男!E68,胸囲_女!E68)</f>
        <v>0</v>
      </c>
    </row>
    <row r="77" spans="1:5" x14ac:dyDescent="0.15">
      <c r="A77">
        <v>5</v>
      </c>
      <c r="B77">
        <v>7</v>
      </c>
      <c r="C77">
        <f t="shared" si="4"/>
        <v>5.583333333333333</v>
      </c>
      <c r="D77">
        <f>IF(胸囲データ!C69="男",胸囲_男!D69,胸囲_女!D69)</f>
        <v>0</v>
      </c>
      <c r="E77">
        <f>IF(胸囲データ!D69="男",胸囲_男!E69,胸囲_女!E69)</f>
        <v>0</v>
      </c>
    </row>
    <row r="78" spans="1:5" x14ac:dyDescent="0.15">
      <c r="A78">
        <v>5</v>
      </c>
      <c r="B78">
        <v>8</v>
      </c>
      <c r="C78">
        <f t="shared" si="4"/>
        <v>5.666666666666667</v>
      </c>
      <c r="D78">
        <f>IF(胸囲データ!C70="男",胸囲_男!D70,胸囲_女!D70)</f>
        <v>0</v>
      </c>
      <c r="E78">
        <f>IF(胸囲データ!D70="男",胸囲_男!E70,胸囲_女!E70)</f>
        <v>0</v>
      </c>
    </row>
    <row r="79" spans="1:5" x14ac:dyDescent="0.15">
      <c r="A79">
        <v>5</v>
      </c>
      <c r="B79">
        <v>9</v>
      </c>
      <c r="C79">
        <f t="shared" si="4"/>
        <v>5.75</v>
      </c>
      <c r="D79">
        <f>IF(胸囲データ!C71="男",胸囲_男!D71,胸囲_女!D71)</f>
        <v>0</v>
      </c>
      <c r="E79">
        <f>IF(胸囲データ!D71="男",胸囲_男!E71,胸囲_女!E71)</f>
        <v>0</v>
      </c>
    </row>
    <row r="80" spans="1:5" x14ac:dyDescent="0.15">
      <c r="A80">
        <v>5</v>
      </c>
      <c r="B80">
        <v>10</v>
      </c>
      <c r="C80">
        <f t="shared" si="4"/>
        <v>5.833333333333333</v>
      </c>
      <c r="D80">
        <f>IF(胸囲データ!C72="男",胸囲_男!D72,胸囲_女!D72)</f>
        <v>0</v>
      </c>
      <c r="E80">
        <f>IF(胸囲データ!D72="男",胸囲_男!E72,胸囲_女!E72)</f>
        <v>0</v>
      </c>
    </row>
    <row r="81" spans="1:5" x14ac:dyDescent="0.15">
      <c r="A81">
        <v>5</v>
      </c>
      <c r="B81">
        <v>11</v>
      </c>
      <c r="C81">
        <f t="shared" si="4"/>
        <v>5.916666666666667</v>
      </c>
      <c r="D81">
        <f>IF(胸囲データ!C73="男",胸囲_男!D73,胸囲_女!D73)</f>
        <v>0</v>
      </c>
      <c r="E81">
        <f>IF(胸囲データ!D73="男",胸囲_男!E73,胸囲_女!E73)</f>
        <v>0</v>
      </c>
    </row>
    <row r="82" spans="1:5" x14ac:dyDescent="0.15">
      <c r="A82">
        <v>6</v>
      </c>
      <c r="B82">
        <v>0</v>
      </c>
      <c r="C82">
        <f t="shared" si="4"/>
        <v>6</v>
      </c>
      <c r="D82">
        <f>IF(胸囲データ!C74="男",胸囲_男!D74,胸囲_女!D74)</f>
        <v>0</v>
      </c>
      <c r="E82">
        <f>IF(胸囲データ!D74="男",胸囲_男!E74,胸囲_女!E74)</f>
        <v>0</v>
      </c>
    </row>
    <row r="83" spans="1:5" x14ac:dyDescent="0.15">
      <c r="A83">
        <v>6</v>
      </c>
      <c r="B83">
        <v>1</v>
      </c>
      <c r="C83">
        <f t="shared" si="4"/>
        <v>6.083333333333333</v>
      </c>
      <c r="D83">
        <f>IF(胸囲データ!C75="男",胸囲_男!D75,胸囲_女!D75)</f>
        <v>0</v>
      </c>
      <c r="E83">
        <f>IF(胸囲データ!D75="男",胸囲_男!E75,胸囲_女!E75)</f>
        <v>0</v>
      </c>
    </row>
    <row r="84" spans="1:5" x14ac:dyDescent="0.15">
      <c r="A84">
        <v>6</v>
      </c>
      <c r="B84">
        <v>2</v>
      </c>
      <c r="C84">
        <f t="shared" si="4"/>
        <v>6.166666666666667</v>
      </c>
      <c r="D84">
        <f>IF(胸囲データ!C76="男",胸囲_男!D76,胸囲_女!D76)</f>
        <v>0</v>
      </c>
      <c r="E84">
        <f>IF(胸囲データ!D76="男",胸囲_男!E76,胸囲_女!E76)</f>
        <v>0</v>
      </c>
    </row>
    <row r="85" spans="1:5" x14ac:dyDescent="0.15">
      <c r="A85">
        <v>6</v>
      </c>
      <c r="B85">
        <v>3</v>
      </c>
      <c r="C85">
        <f t="shared" si="4"/>
        <v>6.25</v>
      </c>
      <c r="D85">
        <f>IF(胸囲データ!C77="男",胸囲_男!D77,胸囲_女!D77)</f>
        <v>0</v>
      </c>
      <c r="E85">
        <f>IF(胸囲データ!D77="男",胸囲_男!E77,胸囲_女!E77)</f>
        <v>0</v>
      </c>
    </row>
  </sheetData>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topLeftCell="B1" workbookViewId="0">
      <selection activeCell="S22" sqref="S22"/>
    </sheetView>
  </sheetViews>
  <sheetFormatPr baseColWidth="12" defaultColWidth="8.83203125" defaultRowHeight="14" x14ac:dyDescent="0.15"/>
  <sheetData>
    <row r="1" spans="1:23" ht="13.5" customHeight="1" x14ac:dyDescent="0.15">
      <c r="A1" t="s">
        <v>80</v>
      </c>
      <c r="B1" t="s">
        <v>82</v>
      </c>
      <c r="D1" t="s">
        <v>81</v>
      </c>
      <c r="E1" t="s">
        <v>160</v>
      </c>
      <c r="H1" t="s">
        <v>80</v>
      </c>
      <c r="I1">
        <v>3</v>
      </c>
      <c r="J1">
        <v>10</v>
      </c>
      <c r="K1">
        <v>25</v>
      </c>
      <c r="L1">
        <v>50</v>
      </c>
      <c r="M1">
        <v>75</v>
      </c>
      <c r="N1">
        <v>90</v>
      </c>
      <c r="O1">
        <v>97</v>
      </c>
      <c r="Q1" t="s">
        <v>106</v>
      </c>
      <c r="T1" t="s">
        <v>107</v>
      </c>
      <c r="U1" t="s">
        <v>108</v>
      </c>
      <c r="V1" t="s">
        <v>109</v>
      </c>
      <c r="W1">
        <v>1</v>
      </c>
    </row>
    <row r="2" spans="1:23" ht="13.5" customHeight="1" x14ac:dyDescent="0.15">
      <c r="A2">
        <v>0</v>
      </c>
      <c r="B2">
        <v>0</v>
      </c>
      <c r="C2">
        <f>A2+B2/12</f>
        <v>0</v>
      </c>
      <c r="G2" t="s">
        <v>83</v>
      </c>
      <c r="H2">
        <v>0</v>
      </c>
      <c r="I2">
        <v>28.9</v>
      </c>
      <c r="J2">
        <v>29.9</v>
      </c>
      <c r="K2">
        <v>30.9</v>
      </c>
      <c r="L2">
        <v>32</v>
      </c>
      <c r="M2">
        <v>33.1</v>
      </c>
      <c r="N2">
        <v>34.1</v>
      </c>
      <c r="O2">
        <v>35.1</v>
      </c>
      <c r="Q2" t="s">
        <v>38</v>
      </c>
      <c r="R2">
        <v>0</v>
      </c>
      <c r="S2">
        <v>2</v>
      </c>
      <c r="T2">
        <v>-0.66335692000000002</v>
      </c>
      <c r="U2">
        <v>3.7716874300000001</v>
      </c>
      <c r="V2">
        <v>-7.4168799999999999</v>
      </c>
      <c r="W2">
        <v>3.165165</v>
      </c>
    </row>
    <row r="3" spans="1:23" x14ac:dyDescent="0.15">
      <c r="A3">
        <v>0</v>
      </c>
      <c r="B3">
        <v>1</v>
      </c>
      <c r="C3">
        <f t="shared" ref="C3:C66" si="0">A3+B3/12</f>
        <v>8.3333333333333329E-2</v>
      </c>
      <c r="G3" t="s">
        <v>84</v>
      </c>
      <c r="H3">
        <f>1/12</f>
        <v>8.3333333333333329E-2</v>
      </c>
      <c r="I3">
        <v>32.799999999999997</v>
      </c>
      <c r="J3">
        <v>33.799999999999997</v>
      </c>
      <c r="K3">
        <v>34.700000000000003</v>
      </c>
      <c r="L3">
        <v>35.9</v>
      </c>
      <c r="M3">
        <v>37.1</v>
      </c>
      <c r="N3">
        <v>38.200000000000003</v>
      </c>
      <c r="O3">
        <v>39.4</v>
      </c>
      <c r="R3">
        <v>2</v>
      </c>
      <c r="T3">
        <v>6.7502705999999996E-2</v>
      </c>
      <c r="U3">
        <v>-0.61347039999999997</v>
      </c>
      <c r="V3">
        <v>1.3534390000000001</v>
      </c>
      <c r="W3">
        <v>-2.6817099999999998</v>
      </c>
    </row>
    <row r="4" spans="1:23" x14ac:dyDescent="0.15">
      <c r="A4">
        <v>0</v>
      </c>
      <c r="B4">
        <v>2</v>
      </c>
      <c r="C4">
        <f t="shared" si="0"/>
        <v>0.16666666666666666</v>
      </c>
      <c r="G4" t="s">
        <v>85</v>
      </c>
      <c r="H4">
        <f>1.5/12</f>
        <v>0.125</v>
      </c>
      <c r="I4">
        <v>34.6</v>
      </c>
      <c r="J4">
        <v>35.6</v>
      </c>
      <c r="K4">
        <v>36.6</v>
      </c>
      <c r="L4">
        <v>37.799999999999997</v>
      </c>
      <c r="M4">
        <v>39.1</v>
      </c>
      <c r="N4">
        <v>40.200000000000003</v>
      </c>
      <c r="O4">
        <v>41.4</v>
      </c>
      <c r="Q4" t="s">
        <v>110</v>
      </c>
      <c r="R4">
        <v>0</v>
      </c>
      <c r="S4">
        <v>0.5</v>
      </c>
      <c r="T4">
        <v>60.504403770000003</v>
      </c>
      <c r="U4">
        <v>-96.857557999999997</v>
      </c>
      <c r="V4">
        <v>57.614310000000003</v>
      </c>
      <c r="W4">
        <v>31.737069999999999</v>
      </c>
    </row>
    <row r="5" spans="1:23" x14ac:dyDescent="0.15">
      <c r="A5">
        <v>0</v>
      </c>
      <c r="B5">
        <v>3</v>
      </c>
      <c r="C5">
        <f t="shared" si="0"/>
        <v>0.25</v>
      </c>
      <c r="G5" t="s">
        <v>86</v>
      </c>
      <c r="H5">
        <f>H4+1/12</f>
        <v>0.20833333333333331</v>
      </c>
      <c r="I5">
        <v>37.1</v>
      </c>
      <c r="J5">
        <v>38.1</v>
      </c>
      <c r="K5">
        <v>39.200000000000003</v>
      </c>
      <c r="L5">
        <v>40.5</v>
      </c>
      <c r="M5">
        <v>41.8</v>
      </c>
      <c r="N5">
        <v>43</v>
      </c>
      <c r="O5">
        <v>44.2</v>
      </c>
      <c r="R5">
        <v>0.5</v>
      </c>
      <c r="S5">
        <v>1</v>
      </c>
      <c r="T5">
        <v>3.9381495530000001</v>
      </c>
      <c r="U5">
        <v>-12.008177</v>
      </c>
      <c r="V5">
        <v>15.18962</v>
      </c>
      <c r="W5">
        <v>38.807850000000002</v>
      </c>
    </row>
    <row r="6" spans="1:23" x14ac:dyDescent="0.15">
      <c r="A6">
        <v>0</v>
      </c>
      <c r="B6">
        <v>4</v>
      </c>
      <c r="C6">
        <f t="shared" si="0"/>
        <v>0.33333333333333331</v>
      </c>
      <c r="G6" t="s">
        <v>87</v>
      </c>
      <c r="H6">
        <f t="shared" ref="H6:H26" si="1">H5+1/12</f>
        <v>0.29166666666666663</v>
      </c>
      <c r="I6">
        <v>38.5</v>
      </c>
      <c r="J6">
        <v>39.6</v>
      </c>
      <c r="K6">
        <v>40.700000000000003</v>
      </c>
      <c r="L6">
        <v>42</v>
      </c>
      <c r="M6">
        <v>43.4</v>
      </c>
      <c r="N6">
        <v>44.6</v>
      </c>
      <c r="O6">
        <v>45.8</v>
      </c>
      <c r="R6">
        <v>1</v>
      </c>
      <c r="S6">
        <v>2</v>
      </c>
      <c r="T6">
        <v>-7.0172219999999993E-2</v>
      </c>
      <c r="U6">
        <v>1.6788239999999999E-2</v>
      </c>
      <c r="V6">
        <v>3.1646570000000001</v>
      </c>
      <c r="W6">
        <v>42.81617</v>
      </c>
    </row>
    <row r="7" spans="1:23" x14ac:dyDescent="0.15">
      <c r="A7">
        <v>0</v>
      </c>
      <c r="B7">
        <v>5</v>
      </c>
      <c r="C7">
        <f t="shared" si="0"/>
        <v>0.41666666666666669</v>
      </c>
      <c r="G7" t="s">
        <v>88</v>
      </c>
      <c r="H7">
        <f t="shared" si="1"/>
        <v>0.37499999999999994</v>
      </c>
      <c r="I7">
        <v>39.6</v>
      </c>
      <c r="J7">
        <v>40.6</v>
      </c>
      <c r="K7">
        <v>41.8</v>
      </c>
      <c r="L7">
        <v>43.1</v>
      </c>
      <c r="M7">
        <v>44.5</v>
      </c>
      <c r="N7">
        <v>45.7</v>
      </c>
      <c r="O7">
        <v>47</v>
      </c>
      <c r="R7">
        <v>2</v>
      </c>
      <c r="S7">
        <v>4</v>
      </c>
      <c r="T7">
        <v>8.2164134999999999E-2</v>
      </c>
      <c r="U7">
        <v>-0.89722990000000002</v>
      </c>
      <c r="V7">
        <v>4.9926940000000002</v>
      </c>
      <c r="W7">
        <v>41.597479999999997</v>
      </c>
    </row>
    <row r="8" spans="1:23" x14ac:dyDescent="0.15">
      <c r="A8">
        <v>0</v>
      </c>
      <c r="B8">
        <v>6</v>
      </c>
      <c r="C8">
        <f t="shared" si="0"/>
        <v>0.5</v>
      </c>
      <c r="G8" t="s">
        <v>89</v>
      </c>
      <c r="H8">
        <f t="shared" si="1"/>
        <v>0.45833333333333326</v>
      </c>
      <c r="I8">
        <v>40.200000000000003</v>
      </c>
      <c r="J8">
        <v>41.4</v>
      </c>
      <c r="K8">
        <v>42.5</v>
      </c>
      <c r="L8">
        <v>43.9</v>
      </c>
      <c r="M8">
        <v>45.2</v>
      </c>
      <c r="N8">
        <v>46.5</v>
      </c>
      <c r="O8">
        <v>47.7</v>
      </c>
      <c r="R8">
        <v>4</v>
      </c>
      <c r="T8">
        <v>-1.630585E-2</v>
      </c>
      <c r="U8">
        <v>0.28440995000000002</v>
      </c>
      <c r="V8">
        <v>0.26613399999999998</v>
      </c>
      <c r="W8">
        <v>47.899560000000001</v>
      </c>
    </row>
    <row r="9" spans="1:23" x14ac:dyDescent="0.15">
      <c r="A9">
        <v>0</v>
      </c>
      <c r="B9">
        <v>7</v>
      </c>
      <c r="C9">
        <f t="shared" si="0"/>
        <v>0.58333333333333337</v>
      </c>
      <c r="G9" t="s">
        <v>90</v>
      </c>
      <c r="H9">
        <f t="shared" si="1"/>
        <v>0.54166666666666663</v>
      </c>
      <c r="I9">
        <v>40.700000000000003</v>
      </c>
      <c r="J9">
        <v>41.8</v>
      </c>
      <c r="K9">
        <v>43</v>
      </c>
      <c r="L9">
        <v>44.4</v>
      </c>
      <c r="M9">
        <v>45.7</v>
      </c>
      <c r="N9">
        <v>47</v>
      </c>
      <c r="O9">
        <v>48.2</v>
      </c>
      <c r="Q9" t="s">
        <v>111</v>
      </c>
      <c r="R9">
        <v>0</v>
      </c>
      <c r="S9">
        <v>1</v>
      </c>
      <c r="T9">
        <v>-7.4547499999999996E-3</v>
      </c>
      <c r="U9">
        <v>2.4751200000000001E-2</v>
      </c>
      <c r="V9">
        <v>-3.2000000000000001E-2</v>
      </c>
      <c r="W9">
        <v>5.7430000000000002E-2</v>
      </c>
    </row>
    <row r="10" spans="1:23" x14ac:dyDescent="0.15">
      <c r="A10">
        <v>0</v>
      </c>
      <c r="B10">
        <v>8</v>
      </c>
      <c r="C10">
        <f t="shared" si="0"/>
        <v>0.66666666666666663</v>
      </c>
      <c r="G10" t="s">
        <v>91</v>
      </c>
      <c r="H10">
        <f t="shared" si="1"/>
        <v>0.625</v>
      </c>
      <c r="I10">
        <v>41.1</v>
      </c>
      <c r="J10">
        <v>42.2</v>
      </c>
      <c r="K10">
        <v>43.4</v>
      </c>
      <c r="L10">
        <v>44.8</v>
      </c>
      <c r="M10">
        <v>46.1</v>
      </c>
      <c r="N10">
        <v>47.4</v>
      </c>
      <c r="O10">
        <v>48.6</v>
      </c>
      <c r="R10">
        <v>1</v>
      </c>
      <c r="T10">
        <v>-1.8916900000000002E-4</v>
      </c>
      <c r="U10">
        <v>2.95444E-3</v>
      </c>
      <c r="V10">
        <v>-1.020458E-2</v>
      </c>
      <c r="W10">
        <v>5.0164355000000001E-2</v>
      </c>
    </row>
    <row r="11" spans="1:23" x14ac:dyDescent="0.15">
      <c r="A11">
        <v>0</v>
      </c>
      <c r="B11">
        <v>9</v>
      </c>
      <c r="C11">
        <f t="shared" si="0"/>
        <v>0.75</v>
      </c>
      <c r="G11" t="s">
        <v>92</v>
      </c>
      <c r="H11">
        <f t="shared" si="1"/>
        <v>0.70833333333333337</v>
      </c>
      <c r="I11">
        <v>41.5</v>
      </c>
      <c r="J11">
        <v>42.6</v>
      </c>
      <c r="K11">
        <v>43.8</v>
      </c>
      <c r="L11">
        <v>45.2</v>
      </c>
      <c r="M11">
        <v>46.6</v>
      </c>
      <c r="N11">
        <v>47.8</v>
      </c>
      <c r="O11">
        <v>49</v>
      </c>
    </row>
    <row r="12" spans="1:23" x14ac:dyDescent="0.15">
      <c r="A12">
        <v>0</v>
      </c>
      <c r="B12">
        <v>10</v>
      </c>
      <c r="C12">
        <f t="shared" si="0"/>
        <v>0.83333333333333337</v>
      </c>
      <c r="G12" t="s">
        <v>93</v>
      </c>
      <c r="H12">
        <f t="shared" si="1"/>
        <v>0.79166666666666674</v>
      </c>
      <c r="I12">
        <v>41.9</v>
      </c>
      <c r="J12">
        <v>43</v>
      </c>
      <c r="K12">
        <v>44.2</v>
      </c>
      <c r="L12">
        <v>45.5</v>
      </c>
      <c r="M12">
        <v>46.9</v>
      </c>
      <c r="N12">
        <v>48.1</v>
      </c>
      <c r="O12">
        <v>49.3</v>
      </c>
    </row>
    <row r="13" spans="1:23" x14ac:dyDescent="0.15">
      <c r="A13">
        <v>0</v>
      </c>
      <c r="B13">
        <v>11</v>
      </c>
      <c r="C13">
        <f t="shared" si="0"/>
        <v>0.91666666666666663</v>
      </c>
      <c r="G13" t="s">
        <v>94</v>
      </c>
      <c r="H13">
        <f t="shared" si="1"/>
        <v>0.87500000000000011</v>
      </c>
      <c r="I13">
        <v>42.3</v>
      </c>
      <c r="J13">
        <v>43.4</v>
      </c>
      <c r="K13">
        <v>44.5</v>
      </c>
      <c r="L13">
        <v>45.7</v>
      </c>
      <c r="M13">
        <v>47.1</v>
      </c>
      <c r="N13">
        <v>48.4</v>
      </c>
      <c r="O13">
        <v>49.6</v>
      </c>
    </row>
    <row r="14" spans="1:23" x14ac:dyDescent="0.15">
      <c r="A14">
        <v>1</v>
      </c>
      <c r="B14">
        <v>0</v>
      </c>
      <c r="C14">
        <f t="shared" si="0"/>
        <v>1</v>
      </c>
      <c r="G14" t="s">
        <v>95</v>
      </c>
      <c r="H14">
        <f t="shared" si="1"/>
        <v>0.95833333333333348</v>
      </c>
      <c r="I14">
        <v>42.5</v>
      </c>
      <c r="J14">
        <v>43.6</v>
      </c>
      <c r="K14">
        <v>44.7</v>
      </c>
      <c r="L14">
        <v>45.9</v>
      </c>
      <c r="M14">
        <v>47.3</v>
      </c>
      <c r="N14">
        <v>48.5</v>
      </c>
      <c r="O14">
        <v>49.8</v>
      </c>
    </row>
    <row r="15" spans="1:23" x14ac:dyDescent="0.15">
      <c r="A15">
        <v>1</v>
      </c>
      <c r="B15">
        <v>1</v>
      </c>
      <c r="C15">
        <f t="shared" si="0"/>
        <v>1.0833333333333333</v>
      </c>
      <c r="G15" t="s">
        <v>96</v>
      </c>
      <c r="H15">
        <f t="shared" si="1"/>
        <v>1.0416666666666667</v>
      </c>
      <c r="I15">
        <v>42.7</v>
      </c>
      <c r="J15">
        <v>43.8</v>
      </c>
      <c r="K15">
        <v>44.9</v>
      </c>
      <c r="L15">
        <v>46.2</v>
      </c>
      <c r="M15">
        <v>47.6</v>
      </c>
      <c r="N15">
        <v>48.8</v>
      </c>
      <c r="O15">
        <v>50.1</v>
      </c>
    </row>
    <row r="16" spans="1:23" x14ac:dyDescent="0.15">
      <c r="A16">
        <v>1</v>
      </c>
      <c r="B16">
        <v>2</v>
      </c>
      <c r="C16">
        <f t="shared" si="0"/>
        <v>1.1666666666666667</v>
      </c>
      <c r="G16" t="s">
        <v>97</v>
      </c>
      <c r="H16">
        <f t="shared" si="1"/>
        <v>1.125</v>
      </c>
      <c r="I16">
        <v>42.9</v>
      </c>
      <c r="J16">
        <v>44</v>
      </c>
      <c r="K16">
        <v>45.2</v>
      </c>
      <c r="L16">
        <v>46.4</v>
      </c>
      <c r="M16">
        <v>47.8</v>
      </c>
      <c r="N16">
        <v>49</v>
      </c>
      <c r="O16">
        <v>50.4</v>
      </c>
    </row>
    <row r="17" spans="1:15" x14ac:dyDescent="0.15">
      <c r="A17">
        <v>1</v>
      </c>
      <c r="B17">
        <v>3</v>
      </c>
      <c r="C17">
        <f t="shared" si="0"/>
        <v>1.25</v>
      </c>
      <c r="G17" t="s">
        <v>86</v>
      </c>
      <c r="H17">
        <f t="shared" si="1"/>
        <v>1.2083333333333333</v>
      </c>
      <c r="I17">
        <v>43.2</v>
      </c>
      <c r="J17">
        <v>44.3</v>
      </c>
      <c r="K17">
        <v>45.4</v>
      </c>
      <c r="L17">
        <v>46.7</v>
      </c>
      <c r="M17">
        <v>48</v>
      </c>
      <c r="N17">
        <v>49.3</v>
      </c>
      <c r="O17">
        <v>50.6</v>
      </c>
    </row>
    <row r="18" spans="1:15" x14ac:dyDescent="0.15">
      <c r="A18">
        <v>1</v>
      </c>
      <c r="B18">
        <v>4</v>
      </c>
      <c r="C18">
        <f t="shared" si="0"/>
        <v>1.3333333333333333</v>
      </c>
      <c r="G18" t="s">
        <v>87</v>
      </c>
      <c r="H18">
        <f t="shared" si="1"/>
        <v>1.2916666666666665</v>
      </c>
      <c r="I18">
        <v>43.4</v>
      </c>
      <c r="J18">
        <v>44.5</v>
      </c>
      <c r="K18">
        <v>45.6</v>
      </c>
      <c r="L18">
        <v>46.9</v>
      </c>
      <c r="M18">
        <v>48.3</v>
      </c>
      <c r="N18">
        <v>49.5</v>
      </c>
      <c r="O18">
        <v>50.9</v>
      </c>
    </row>
    <row r="19" spans="1:15" x14ac:dyDescent="0.15">
      <c r="A19">
        <v>1</v>
      </c>
      <c r="B19">
        <v>5</v>
      </c>
      <c r="C19">
        <f t="shared" si="0"/>
        <v>1.4166666666666667</v>
      </c>
      <c r="G19" t="s">
        <v>88</v>
      </c>
      <c r="H19">
        <f t="shared" si="1"/>
        <v>1.3749999999999998</v>
      </c>
      <c r="I19">
        <v>43.7</v>
      </c>
      <c r="J19">
        <v>44.8</v>
      </c>
      <c r="K19">
        <v>45.9</v>
      </c>
      <c r="L19">
        <v>47.2</v>
      </c>
      <c r="M19">
        <v>48.5</v>
      </c>
      <c r="N19">
        <v>49.8</v>
      </c>
      <c r="O19">
        <v>51.2</v>
      </c>
    </row>
    <row r="20" spans="1:15" x14ac:dyDescent="0.15">
      <c r="A20">
        <v>1</v>
      </c>
      <c r="B20">
        <v>6</v>
      </c>
      <c r="C20">
        <f t="shared" si="0"/>
        <v>1.5</v>
      </c>
      <c r="G20" t="s">
        <v>89</v>
      </c>
      <c r="H20">
        <f t="shared" si="1"/>
        <v>1.458333333333333</v>
      </c>
      <c r="I20">
        <v>43.9</v>
      </c>
      <c r="J20">
        <v>45</v>
      </c>
      <c r="K20">
        <v>46.1</v>
      </c>
      <c r="L20">
        <v>47.4</v>
      </c>
      <c r="M20">
        <v>48.7</v>
      </c>
      <c r="N20">
        <v>50</v>
      </c>
      <c r="O20">
        <v>51.5</v>
      </c>
    </row>
    <row r="21" spans="1:15" x14ac:dyDescent="0.15">
      <c r="A21">
        <v>1</v>
      </c>
      <c r="B21">
        <v>7</v>
      </c>
      <c r="C21">
        <f t="shared" si="0"/>
        <v>1.5833333333333335</v>
      </c>
      <c r="G21" t="s">
        <v>90</v>
      </c>
      <c r="H21">
        <f t="shared" si="1"/>
        <v>1.5416666666666663</v>
      </c>
      <c r="I21">
        <v>44.1</v>
      </c>
      <c r="J21">
        <v>45.2</v>
      </c>
      <c r="K21">
        <v>46.3</v>
      </c>
      <c r="L21">
        <v>47.6</v>
      </c>
      <c r="M21">
        <v>48.9</v>
      </c>
      <c r="N21">
        <v>50.3</v>
      </c>
      <c r="O21">
        <v>51.7</v>
      </c>
    </row>
    <row r="22" spans="1:15" x14ac:dyDescent="0.15">
      <c r="A22">
        <v>1</v>
      </c>
      <c r="B22">
        <v>8</v>
      </c>
      <c r="C22">
        <f t="shared" si="0"/>
        <v>1.6666666666666665</v>
      </c>
      <c r="G22" t="s">
        <v>91</v>
      </c>
      <c r="H22">
        <f t="shared" si="1"/>
        <v>1.6249999999999996</v>
      </c>
      <c r="I22">
        <v>44.3</v>
      </c>
      <c r="J22">
        <v>45.4</v>
      </c>
      <c r="K22">
        <v>46.5</v>
      </c>
      <c r="L22">
        <v>47.8</v>
      </c>
      <c r="M22">
        <v>49.2</v>
      </c>
      <c r="N22">
        <v>50.5</v>
      </c>
      <c r="O22">
        <v>52</v>
      </c>
    </row>
    <row r="23" spans="1:15" x14ac:dyDescent="0.15">
      <c r="A23">
        <v>1</v>
      </c>
      <c r="B23">
        <v>9</v>
      </c>
      <c r="C23">
        <f t="shared" si="0"/>
        <v>1.75</v>
      </c>
      <c r="G23" t="s">
        <v>92</v>
      </c>
      <c r="H23">
        <f t="shared" si="1"/>
        <v>1.7083333333333328</v>
      </c>
      <c r="I23">
        <v>44.5</v>
      </c>
      <c r="J23">
        <v>45.6</v>
      </c>
      <c r="K23">
        <v>46.7</v>
      </c>
      <c r="L23">
        <v>48</v>
      </c>
      <c r="M23">
        <v>49.4</v>
      </c>
      <c r="N23">
        <v>50.7</v>
      </c>
      <c r="O23">
        <v>52.2</v>
      </c>
    </row>
    <row r="24" spans="1:15" x14ac:dyDescent="0.15">
      <c r="A24">
        <v>1</v>
      </c>
      <c r="B24">
        <v>10</v>
      </c>
      <c r="C24">
        <f t="shared" si="0"/>
        <v>1.8333333333333335</v>
      </c>
      <c r="G24" t="s">
        <v>93</v>
      </c>
      <c r="H24">
        <f t="shared" si="1"/>
        <v>1.7916666666666661</v>
      </c>
      <c r="I24">
        <v>44.7</v>
      </c>
      <c r="J24">
        <v>45.8</v>
      </c>
      <c r="K24">
        <v>46.9</v>
      </c>
      <c r="L24">
        <v>48.2</v>
      </c>
      <c r="M24">
        <v>49.6</v>
      </c>
      <c r="N24">
        <v>51</v>
      </c>
      <c r="O24">
        <v>52.5</v>
      </c>
    </row>
    <row r="25" spans="1:15" x14ac:dyDescent="0.15">
      <c r="A25">
        <v>1</v>
      </c>
      <c r="B25">
        <v>11</v>
      </c>
      <c r="C25">
        <f t="shared" si="0"/>
        <v>1.9166666666666665</v>
      </c>
      <c r="G25" t="s">
        <v>94</v>
      </c>
      <c r="H25">
        <f t="shared" si="1"/>
        <v>1.8749999999999993</v>
      </c>
      <c r="I25">
        <v>44.9</v>
      </c>
      <c r="J25">
        <v>46</v>
      </c>
      <c r="K25">
        <v>47.1</v>
      </c>
      <c r="L25">
        <v>48.4</v>
      </c>
      <c r="M25">
        <v>49.8</v>
      </c>
      <c r="N25">
        <v>51.2</v>
      </c>
      <c r="O25">
        <v>52.7</v>
      </c>
    </row>
    <row r="26" spans="1:15" x14ac:dyDescent="0.15">
      <c r="A26">
        <v>2</v>
      </c>
      <c r="B26">
        <v>0</v>
      </c>
      <c r="C26">
        <f t="shared" si="0"/>
        <v>2</v>
      </c>
      <c r="G26" t="s">
        <v>95</v>
      </c>
      <c r="H26">
        <f t="shared" si="1"/>
        <v>1.9583333333333326</v>
      </c>
      <c r="I26">
        <v>45</v>
      </c>
      <c r="J26">
        <v>46.2</v>
      </c>
      <c r="K26">
        <v>47.3</v>
      </c>
      <c r="L26">
        <v>48.5</v>
      </c>
      <c r="M26">
        <v>49.9</v>
      </c>
      <c r="N26">
        <v>51.4</v>
      </c>
      <c r="O26">
        <v>52.9</v>
      </c>
    </row>
    <row r="27" spans="1:15" x14ac:dyDescent="0.15">
      <c r="A27">
        <v>2</v>
      </c>
      <c r="B27">
        <v>1</v>
      </c>
      <c r="C27">
        <f t="shared" si="0"/>
        <v>2.0833333333333335</v>
      </c>
      <c r="G27" t="s">
        <v>98</v>
      </c>
      <c r="H27">
        <f>2+3/12</f>
        <v>2.25</v>
      </c>
      <c r="I27">
        <v>45.6</v>
      </c>
      <c r="J27">
        <v>46.7</v>
      </c>
      <c r="K27">
        <v>47.9</v>
      </c>
      <c r="L27">
        <v>49.2</v>
      </c>
      <c r="M27">
        <v>50.6</v>
      </c>
      <c r="N27">
        <v>52.1</v>
      </c>
      <c r="O27">
        <v>53.7</v>
      </c>
    </row>
    <row r="28" spans="1:15" x14ac:dyDescent="0.15">
      <c r="A28">
        <v>2</v>
      </c>
      <c r="B28">
        <v>2</v>
      </c>
      <c r="C28">
        <f t="shared" si="0"/>
        <v>2.1666666666666665</v>
      </c>
      <c r="G28" t="s">
        <v>99</v>
      </c>
      <c r="H28">
        <f t="shared" ref="H28:H35" si="2">H27+0.5</f>
        <v>2.75</v>
      </c>
      <c r="I28">
        <v>46.5</v>
      </c>
      <c r="J28">
        <v>47.7</v>
      </c>
      <c r="K28">
        <v>48.9</v>
      </c>
      <c r="L28">
        <v>50.3</v>
      </c>
      <c r="M28">
        <v>51.8</v>
      </c>
      <c r="N28">
        <v>53.4</v>
      </c>
      <c r="O28">
        <v>55.1</v>
      </c>
    </row>
    <row r="29" spans="1:15" x14ac:dyDescent="0.15">
      <c r="A29">
        <v>2</v>
      </c>
      <c r="B29">
        <v>3</v>
      </c>
      <c r="C29">
        <f t="shared" si="0"/>
        <v>2.25</v>
      </c>
      <c r="G29" t="s">
        <v>100</v>
      </c>
      <c r="H29">
        <f t="shared" si="2"/>
        <v>3.25</v>
      </c>
      <c r="I29">
        <v>47.4</v>
      </c>
      <c r="J29">
        <v>48.7</v>
      </c>
      <c r="K29">
        <v>49.9</v>
      </c>
      <c r="L29">
        <v>51.3</v>
      </c>
      <c r="M29">
        <v>53</v>
      </c>
      <c r="N29">
        <v>54.6</v>
      </c>
      <c r="O29">
        <v>56.5</v>
      </c>
    </row>
    <row r="30" spans="1:15" x14ac:dyDescent="0.15">
      <c r="A30">
        <v>2</v>
      </c>
      <c r="B30">
        <v>4</v>
      </c>
      <c r="C30">
        <f t="shared" si="0"/>
        <v>2.3333333333333335</v>
      </c>
      <c r="G30" t="s">
        <v>99</v>
      </c>
      <c r="H30">
        <f t="shared" si="2"/>
        <v>3.75</v>
      </c>
      <c r="I30">
        <v>48.2</v>
      </c>
      <c r="J30">
        <v>49.4</v>
      </c>
      <c r="K30">
        <v>50.7</v>
      </c>
      <c r="L30">
        <v>52.2</v>
      </c>
      <c r="M30">
        <v>54</v>
      </c>
      <c r="N30">
        <v>55.7</v>
      </c>
      <c r="O30">
        <v>57.8</v>
      </c>
    </row>
    <row r="31" spans="1:15" x14ac:dyDescent="0.15">
      <c r="A31">
        <v>2</v>
      </c>
      <c r="B31">
        <v>5</v>
      </c>
      <c r="C31">
        <f t="shared" si="0"/>
        <v>2.4166666666666665</v>
      </c>
      <c r="G31" t="s">
        <v>101</v>
      </c>
      <c r="H31">
        <f t="shared" si="2"/>
        <v>4.25</v>
      </c>
      <c r="I31">
        <v>49</v>
      </c>
      <c r="J31">
        <v>50.2</v>
      </c>
      <c r="K31">
        <v>51.5</v>
      </c>
      <c r="L31">
        <v>53.1</v>
      </c>
      <c r="M31">
        <v>55</v>
      </c>
      <c r="N31">
        <v>56.9</v>
      </c>
      <c r="O31">
        <v>59.2</v>
      </c>
    </row>
    <row r="32" spans="1:15" x14ac:dyDescent="0.15">
      <c r="A32">
        <v>2</v>
      </c>
      <c r="B32">
        <v>6</v>
      </c>
      <c r="C32">
        <f t="shared" si="0"/>
        <v>2.5</v>
      </c>
      <c r="G32" t="s">
        <v>99</v>
      </c>
      <c r="H32">
        <f t="shared" si="2"/>
        <v>4.75</v>
      </c>
      <c r="I32">
        <v>49.8</v>
      </c>
      <c r="J32">
        <v>51</v>
      </c>
      <c r="K32">
        <v>52.4</v>
      </c>
      <c r="L32">
        <v>54.2</v>
      </c>
      <c r="M32">
        <v>56.1</v>
      </c>
      <c r="N32">
        <v>58.3</v>
      </c>
      <c r="O32">
        <v>60.6</v>
      </c>
    </row>
    <row r="33" spans="1:15" x14ac:dyDescent="0.15">
      <c r="A33">
        <v>2</v>
      </c>
      <c r="B33">
        <v>7</v>
      </c>
      <c r="C33">
        <f t="shared" si="0"/>
        <v>2.5833333333333335</v>
      </c>
      <c r="G33" t="s">
        <v>102</v>
      </c>
      <c r="H33">
        <f t="shared" si="2"/>
        <v>5.25</v>
      </c>
      <c r="I33">
        <v>50.4</v>
      </c>
      <c r="J33">
        <v>51.7</v>
      </c>
      <c r="K33">
        <v>53.2</v>
      </c>
      <c r="L33">
        <v>55</v>
      </c>
      <c r="M33">
        <v>57.2</v>
      </c>
      <c r="N33">
        <v>59.5</v>
      </c>
      <c r="O33">
        <v>61.9</v>
      </c>
    </row>
    <row r="34" spans="1:15" x14ac:dyDescent="0.15">
      <c r="A34">
        <v>2</v>
      </c>
      <c r="B34">
        <v>8</v>
      </c>
      <c r="C34">
        <f t="shared" si="0"/>
        <v>2.6666666666666665</v>
      </c>
      <c r="G34" t="s">
        <v>99</v>
      </c>
      <c r="H34">
        <f t="shared" si="2"/>
        <v>5.75</v>
      </c>
      <c r="I34">
        <v>50.9</v>
      </c>
      <c r="J34">
        <v>52.3</v>
      </c>
      <c r="K34">
        <v>53.9</v>
      </c>
      <c r="L34">
        <v>55.9</v>
      </c>
      <c r="M34">
        <v>58.3</v>
      </c>
      <c r="N34">
        <v>60.7</v>
      </c>
      <c r="O34">
        <v>63.2</v>
      </c>
    </row>
    <row r="35" spans="1:15" x14ac:dyDescent="0.15">
      <c r="A35">
        <v>2</v>
      </c>
      <c r="B35">
        <v>9</v>
      </c>
      <c r="C35">
        <f t="shared" si="0"/>
        <v>2.75</v>
      </c>
      <c r="G35" t="s">
        <v>103</v>
      </c>
      <c r="H35">
        <f t="shared" si="2"/>
        <v>6.25</v>
      </c>
      <c r="I35">
        <v>51.4</v>
      </c>
      <c r="J35">
        <v>52.9</v>
      </c>
      <c r="K35">
        <v>54.5</v>
      </c>
      <c r="L35">
        <v>56.7</v>
      </c>
      <c r="M35">
        <v>59.3</v>
      </c>
      <c r="N35">
        <v>61.8</v>
      </c>
      <c r="O35">
        <v>64.5</v>
      </c>
    </row>
    <row r="36" spans="1:15" x14ac:dyDescent="0.15">
      <c r="A36">
        <v>2</v>
      </c>
      <c r="B36">
        <v>10</v>
      </c>
      <c r="C36">
        <f t="shared" si="0"/>
        <v>2.8333333333333335</v>
      </c>
    </row>
    <row r="37" spans="1:15" x14ac:dyDescent="0.15">
      <c r="A37">
        <v>2</v>
      </c>
      <c r="B37">
        <v>11</v>
      </c>
      <c r="C37">
        <f t="shared" si="0"/>
        <v>2.9166666666666665</v>
      </c>
    </row>
    <row r="38" spans="1:15" x14ac:dyDescent="0.15">
      <c r="A38">
        <v>3</v>
      </c>
      <c r="B38">
        <v>0</v>
      </c>
      <c r="C38">
        <f t="shared" si="0"/>
        <v>3</v>
      </c>
    </row>
    <row r="39" spans="1:15" x14ac:dyDescent="0.15">
      <c r="A39">
        <v>3</v>
      </c>
      <c r="B39">
        <v>1</v>
      </c>
      <c r="C39">
        <f t="shared" si="0"/>
        <v>3.0833333333333335</v>
      </c>
    </row>
    <row r="40" spans="1:15" x14ac:dyDescent="0.15">
      <c r="A40">
        <v>3</v>
      </c>
      <c r="B40">
        <v>2</v>
      </c>
      <c r="C40">
        <f t="shared" si="0"/>
        <v>3.1666666666666665</v>
      </c>
    </row>
    <row r="41" spans="1:15" x14ac:dyDescent="0.15">
      <c r="A41">
        <v>3</v>
      </c>
      <c r="B41">
        <v>3</v>
      </c>
      <c r="C41">
        <f t="shared" si="0"/>
        <v>3.25</v>
      </c>
    </row>
    <row r="42" spans="1:15" x14ac:dyDescent="0.15">
      <c r="A42">
        <v>3</v>
      </c>
      <c r="B42">
        <v>4</v>
      </c>
      <c r="C42">
        <f t="shared" si="0"/>
        <v>3.3333333333333335</v>
      </c>
    </row>
    <row r="43" spans="1:15" x14ac:dyDescent="0.15">
      <c r="A43">
        <v>3</v>
      </c>
      <c r="B43">
        <v>5</v>
      </c>
      <c r="C43">
        <f t="shared" si="0"/>
        <v>3.4166666666666665</v>
      </c>
    </row>
    <row r="44" spans="1:15" x14ac:dyDescent="0.15">
      <c r="A44">
        <v>3</v>
      </c>
      <c r="B44">
        <v>6</v>
      </c>
      <c r="C44">
        <f t="shared" si="0"/>
        <v>3.5</v>
      </c>
    </row>
    <row r="45" spans="1:15" x14ac:dyDescent="0.15">
      <c r="A45">
        <v>3</v>
      </c>
      <c r="B45">
        <v>7</v>
      </c>
      <c r="C45">
        <f t="shared" si="0"/>
        <v>3.5833333333333335</v>
      </c>
    </row>
    <row r="46" spans="1:15" x14ac:dyDescent="0.15">
      <c r="A46">
        <v>3</v>
      </c>
      <c r="B46">
        <v>8</v>
      </c>
      <c r="C46">
        <f t="shared" si="0"/>
        <v>3.6666666666666665</v>
      </c>
    </row>
    <row r="47" spans="1:15" x14ac:dyDescent="0.15">
      <c r="A47">
        <v>3</v>
      </c>
      <c r="B47">
        <v>9</v>
      </c>
      <c r="C47">
        <f t="shared" si="0"/>
        <v>3.75</v>
      </c>
    </row>
    <row r="48" spans="1:15" x14ac:dyDescent="0.15">
      <c r="A48">
        <v>3</v>
      </c>
      <c r="B48">
        <v>10</v>
      </c>
      <c r="C48">
        <f t="shared" si="0"/>
        <v>3.8333333333333335</v>
      </c>
    </row>
    <row r="49" spans="1:3" x14ac:dyDescent="0.15">
      <c r="A49">
        <v>3</v>
      </c>
      <c r="B49">
        <v>11</v>
      </c>
      <c r="C49">
        <f t="shared" si="0"/>
        <v>3.9166666666666665</v>
      </c>
    </row>
    <row r="50" spans="1:3" x14ac:dyDescent="0.15">
      <c r="A50">
        <v>4</v>
      </c>
      <c r="B50">
        <v>0</v>
      </c>
      <c r="C50">
        <f t="shared" si="0"/>
        <v>4</v>
      </c>
    </row>
    <row r="51" spans="1:3" x14ac:dyDescent="0.15">
      <c r="A51">
        <v>4</v>
      </c>
      <c r="B51">
        <v>1</v>
      </c>
      <c r="C51">
        <f t="shared" si="0"/>
        <v>4.083333333333333</v>
      </c>
    </row>
    <row r="52" spans="1:3" x14ac:dyDescent="0.15">
      <c r="A52">
        <v>4</v>
      </c>
      <c r="B52">
        <v>2</v>
      </c>
      <c r="C52">
        <f t="shared" si="0"/>
        <v>4.166666666666667</v>
      </c>
    </row>
    <row r="53" spans="1:3" x14ac:dyDescent="0.15">
      <c r="A53">
        <v>4</v>
      </c>
      <c r="B53">
        <v>3</v>
      </c>
      <c r="C53">
        <f t="shared" si="0"/>
        <v>4.25</v>
      </c>
    </row>
    <row r="54" spans="1:3" x14ac:dyDescent="0.15">
      <c r="A54">
        <v>4</v>
      </c>
      <c r="B54">
        <v>4</v>
      </c>
      <c r="C54">
        <f t="shared" si="0"/>
        <v>4.333333333333333</v>
      </c>
    </row>
    <row r="55" spans="1:3" x14ac:dyDescent="0.15">
      <c r="A55">
        <v>4</v>
      </c>
      <c r="B55">
        <v>5</v>
      </c>
      <c r="C55">
        <f t="shared" si="0"/>
        <v>4.416666666666667</v>
      </c>
    </row>
    <row r="56" spans="1:3" x14ac:dyDescent="0.15">
      <c r="A56">
        <v>4</v>
      </c>
      <c r="B56">
        <v>6</v>
      </c>
      <c r="C56">
        <f t="shared" si="0"/>
        <v>4.5</v>
      </c>
    </row>
    <row r="57" spans="1:3" x14ac:dyDescent="0.15">
      <c r="A57">
        <v>4</v>
      </c>
      <c r="B57">
        <v>7</v>
      </c>
      <c r="C57">
        <f t="shared" si="0"/>
        <v>4.583333333333333</v>
      </c>
    </row>
    <row r="58" spans="1:3" x14ac:dyDescent="0.15">
      <c r="A58">
        <v>4</v>
      </c>
      <c r="B58">
        <v>8</v>
      </c>
      <c r="C58">
        <f t="shared" si="0"/>
        <v>4.666666666666667</v>
      </c>
    </row>
    <row r="59" spans="1:3" x14ac:dyDescent="0.15">
      <c r="A59">
        <v>4</v>
      </c>
      <c r="B59">
        <v>9</v>
      </c>
      <c r="C59">
        <f t="shared" si="0"/>
        <v>4.75</v>
      </c>
    </row>
    <row r="60" spans="1:3" x14ac:dyDescent="0.15">
      <c r="A60">
        <v>4</v>
      </c>
      <c r="B60">
        <v>10</v>
      </c>
      <c r="C60">
        <f t="shared" si="0"/>
        <v>4.833333333333333</v>
      </c>
    </row>
    <row r="61" spans="1:3" x14ac:dyDescent="0.15">
      <c r="A61">
        <v>4</v>
      </c>
      <c r="B61">
        <v>11</v>
      </c>
      <c r="C61">
        <f t="shared" si="0"/>
        <v>4.916666666666667</v>
      </c>
    </row>
    <row r="62" spans="1:3" x14ac:dyDescent="0.15">
      <c r="A62">
        <v>5</v>
      </c>
      <c r="B62">
        <v>0</v>
      </c>
      <c r="C62">
        <f t="shared" si="0"/>
        <v>5</v>
      </c>
    </row>
    <row r="63" spans="1:3" x14ac:dyDescent="0.15">
      <c r="A63">
        <v>5</v>
      </c>
      <c r="B63">
        <v>1</v>
      </c>
      <c r="C63">
        <f t="shared" si="0"/>
        <v>5.083333333333333</v>
      </c>
    </row>
    <row r="64" spans="1:3" x14ac:dyDescent="0.15">
      <c r="A64">
        <v>5</v>
      </c>
      <c r="B64">
        <v>2</v>
      </c>
      <c r="C64">
        <f t="shared" si="0"/>
        <v>5.166666666666667</v>
      </c>
    </row>
    <row r="65" spans="1:3" x14ac:dyDescent="0.15">
      <c r="A65">
        <v>5</v>
      </c>
      <c r="B65">
        <v>3</v>
      </c>
      <c r="C65">
        <f t="shared" si="0"/>
        <v>5.25</v>
      </c>
    </row>
    <row r="66" spans="1:3" x14ac:dyDescent="0.15">
      <c r="A66">
        <v>5</v>
      </c>
      <c r="B66">
        <v>4</v>
      </c>
      <c r="C66">
        <f t="shared" si="0"/>
        <v>5.333333333333333</v>
      </c>
    </row>
    <row r="67" spans="1:3" x14ac:dyDescent="0.15">
      <c r="A67">
        <v>5</v>
      </c>
      <c r="B67">
        <v>5</v>
      </c>
      <c r="C67">
        <f t="shared" ref="C67:C85" si="3">A67+B67/12</f>
        <v>5.416666666666667</v>
      </c>
    </row>
    <row r="68" spans="1:3" x14ac:dyDescent="0.15">
      <c r="A68">
        <v>5</v>
      </c>
      <c r="B68">
        <v>6</v>
      </c>
      <c r="C68">
        <f t="shared" si="3"/>
        <v>5.5</v>
      </c>
    </row>
    <row r="69" spans="1:3" x14ac:dyDescent="0.15">
      <c r="A69">
        <v>5</v>
      </c>
      <c r="B69">
        <v>7</v>
      </c>
      <c r="C69">
        <f t="shared" si="3"/>
        <v>5.583333333333333</v>
      </c>
    </row>
    <row r="70" spans="1:3" x14ac:dyDescent="0.15">
      <c r="A70">
        <v>5</v>
      </c>
      <c r="B70">
        <v>8</v>
      </c>
      <c r="C70">
        <f t="shared" si="3"/>
        <v>5.666666666666667</v>
      </c>
    </row>
    <row r="71" spans="1:3" x14ac:dyDescent="0.15">
      <c r="A71">
        <v>5</v>
      </c>
      <c r="B71">
        <v>9</v>
      </c>
      <c r="C71">
        <f t="shared" si="3"/>
        <v>5.75</v>
      </c>
    </row>
    <row r="72" spans="1:3" x14ac:dyDescent="0.15">
      <c r="A72">
        <v>5</v>
      </c>
      <c r="B72">
        <v>10</v>
      </c>
      <c r="C72">
        <f t="shared" si="3"/>
        <v>5.833333333333333</v>
      </c>
    </row>
    <row r="73" spans="1:3" x14ac:dyDescent="0.15">
      <c r="A73">
        <v>5</v>
      </c>
      <c r="B73">
        <v>11</v>
      </c>
      <c r="C73">
        <f t="shared" si="3"/>
        <v>5.916666666666667</v>
      </c>
    </row>
    <row r="74" spans="1:3" x14ac:dyDescent="0.15">
      <c r="A74">
        <v>6</v>
      </c>
      <c r="B74">
        <v>0</v>
      </c>
      <c r="C74">
        <f t="shared" si="3"/>
        <v>6</v>
      </c>
    </row>
    <row r="75" spans="1:3" x14ac:dyDescent="0.15">
      <c r="A75">
        <v>6</v>
      </c>
      <c r="B75">
        <v>1</v>
      </c>
      <c r="C75">
        <f t="shared" si="3"/>
        <v>6.083333333333333</v>
      </c>
    </row>
    <row r="76" spans="1:3" x14ac:dyDescent="0.15">
      <c r="A76">
        <v>6</v>
      </c>
      <c r="B76">
        <v>2</v>
      </c>
      <c r="C76">
        <f t="shared" si="3"/>
        <v>6.166666666666667</v>
      </c>
    </row>
    <row r="77" spans="1:3" x14ac:dyDescent="0.15">
      <c r="A77">
        <v>6</v>
      </c>
      <c r="B77">
        <v>3</v>
      </c>
      <c r="C77">
        <f t="shared" si="3"/>
        <v>6.25</v>
      </c>
    </row>
    <row r="78" spans="1:3" x14ac:dyDescent="0.15">
      <c r="A78">
        <v>6</v>
      </c>
      <c r="B78">
        <v>4</v>
      </c>
      <c r="C78">
        <f t="shared" si="3"/>
        <v>6.333333333333333</v>
      </c>
    </row>
    <row r="79" spans="1:3" x14ac:dyDescent="0.15">
      <c r="A79">
        <v>6</v>
      </c>
      <c r="B79">
        <v>5</v>
      </c>
      <c r="C79">
        <f t="shared" si="3"/>
        <v>6.416666666666667</v>
      </c>
    </row>
    <row r="80" spans="1:3" x14ac:dyDescent="0.15">
      <c r="A80">
        <v>6</v>
      </c>
      <c r="B80">
        <v>6</v>
      </c>
      <c r="C80">
        <f t="shared" si="3"/>
        <v>6.5</v>
      </c>
    </row>
    <row r="81" spans="1:3" x14ac:dyDescent="0.15">
      <c r="A81">
        <v>6</v>
      </c>
      <c r="B81">
        <v>7</v>
      </c>
      <c r="C81">
        <f t="shared" si="3"/>
        <v>6.583333333333333</v>
      </c>
    </row>
    <row r="82" spans="1:3" x14ac:dyDescent="0.15">
      <c r="A82">
        <v>6</v>
      </c>
      <c r="B82">
        <v>8</v>
      </c>
      <c r="C82">
        <f t="shared" si="3"/>
        <v>6.666666666666667</v>
      </c>
    </row>
    <row r="83" spans="1:3" x14ac:dyDescent="0.15">
      <c r="A83">
        <v>6</v>
      </c>
      <c r="B83">
        <v>9</v>
      </c>
      <c r="C83">
        <f t="shared" si="3"/>
        <v>6.75</v>
      </c>
    </row>
    <row r="84" spans="1:3" x14ac:dyDescent="0.15">
      <c r="A84">
        <v>6</v>
      </c>
      <c r="B84">
        <v>10</v>
      </c>
      <c r="C84">
        <f t="shared" si="3"/>
        <v>6.833333333333333</v>
      </c>
    </row>
    <row r="85" spans="1:3" x14ac:dyDescent="0.15">
      <c r="A85">
        <v>6</v>
      </c>
      <c r="B85">
        <v>11</v>
      </c>
      <c r="C85">
        <f t="shared" si="3"/>
        <v>6.916666666666667</v>
      </c>
    </row>
  </sheetData>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workbookViewId="0">
      <selection activeCell="U16" sqref="U16"/>
    </sheetView>
  </sheetViews>
  <sheetFormatPr baseColWidth="12" defaultColWidth="8.83203125" defaultRowHeight="14" x14ac:dyDescent="0.15"/>
  <sheetData>
    <row r="1" spans="1:23" ht="13.5" customHeight="1" x14ac:dyDescent="0.15">
      <c r="A1" t="s">
        <v>80</v>
      </c>
      <c r="B1" t="s">
        <v>82</v>
      </c>
      <c r="D1" t="s">
        <v>81</v>
      </c>
      <c r="E1" t="s">
        <v>160</v>
      </c>
      <c r="H1" t="s">
        <v>80</v>
      </c>
      <c r="I1">
        <v>3</v>
      </c>
      <c r="J1">
        <v>10</v>
      </c>
      <c r="K1">
        <v>25</v>
      </c>
      <c r="L1">
        <v>50</v>
      </c>
      <c r="M1">
        <v>75</v>
      </c>
      <c r="N1">
        <v>90</v>
      </c>
      <c r="O1">
        <v>97</v>
      </c>
      <c r="Q1" t="s">
        <v>106</v>
      </c>
      <c r="T1" t="s">
        <v>107</v>
      </c>
      <c r="U1" t="s">
        <v>108</v>
      </c>
      <c r="V1" t="s">
        <v>109</v>
      </c>
      <c r="W1">
        <v>1</v>
      </c>
    </row>
    <row r="2" spans="1:23" ht="13.5" customHeight="1" x14ac:dyDescent="0.15">
      <c r="A2">
        <v>0</v>
      </c>
      <c r="B2">
        <v>0</v>
      </c>
      <c r="C2">
        <f>A2+B2/12</f>
        <v>0</v>
      </c>
      <c r="G2" t="s">
        <v>83</v>
      </c>
      <c r="H2">
        <v>0</v>
      </c>
      <c r="I2">
        <v>29.3</v>
      </c>
      <c r="J2">
        <v>30.1</v>
      </c>
      <c r="K2">
        <v>30.9</v>
      </c>
      <c r="L2">
        <v>31.8</v>
      </c>
      <c r="M2">
        <v>32.799999999999997</v>
      </c>
      <c r="N2">
        <v>33.700000000000003</v>
      </c>
      <c r="O2">
        <v>34.6</v>
      </c>
      <c r="Q2" t="s">
        <v>38</v>
      </c>
      <c r="R2">
        <v>0</v>
      </c>
      <c r="S2">
        <v>2</v>
      </c>
      <c r="T2">
        <v>-0.83618479999999995</v>
      </c>
      <c r="U2">
        <v>4.4888090099999998</v>
      </c>
      <c r="V2">
        <v>-7.6567299999999996</v>
      </c>
      <c r="W2">
        <v>3.1050279999999999</v>
      </c>
    </row>
    <row r="3" spans="1:23" x14ac:dyDescent="0.15">
      <c r="A3">
        <v>0</v>
      </c>
      <c r="B3">
        <v>1</v>
      </c>
      <c r="C3">
        <f t="shared" ref="C3:C66" si="0">A3+B3/12</f>
        <v>8.3333333333333329E-2</v>
      </c>
      <c r="G3" t="s">
        <v>84</v>
      </c>
      <c r="H3">
        <f>1/12</f>
        <v>8.3333333333333329E-2</v>
      </c>
      <c r="I3">
        <v>32.799999999999997</v>
      </c>
      <c r="J3">
        <v>33.6</v>
      </c>
      <c r="K3">
        <v>34.4</v>
      </c>
      <c r="L3">
        <v>35.4</v>
      </c>
      <c r="M3">
        <v>36.4</v>
      </c>
      <c r="N3">
        <v>37.299999999999997</v>
      </c>
      <c r="O3">
        <v>38.5</v>
      </c>
      <c r="R3">
        <v>2</v>
      </c>
      <c r="T3">
        <v>7.5383961999999999E-2</v>
      </c>
      <c r="U3">
        <v>-0.98060360000000002</v>
      </c>
      <c r="V3">
        <v>3.2820900000000002</v>
      </c>
      <c r="W3">
        <v>-4.1875200000000001</v>
      </c>
    </row>
    <row r="4" spans="1:23" x14ac:dyDescent="0.15">
      <c r="A4">
        <v>0</v>
      </c>
      <c r="B4">
        <v>2</v>
      </c>
      <c r="C4">
        <f t="shared" si="0"/>
        <v>0.16666666666666666</v>
      </c>
      <c r="G4" t="s">
        <v>85</v>
      </c>
      <c r="H4">
        <f>1.5/12</f>
        <v>0.125</v>
      </c>
      <c r="I4">
        <v>34.4</v>
      </c>
      <c r="J4">
        <v>35.299999999999997</v>
      </c>
      <c r="K4">
        <v>36.200000000000003</v>
      </c>
      <c r="L4">
        <v>37.200000000000003</v>
      </c>
      <c r="M4">
        <v>38.299999999999997</v>
      </c>
      <c r="N4">
        <v>39.4</v>
      </c>
      <c r="O4">
        <v>40.5</v>
      </c>
      <c r="Q4" t="s">
        <v>110</v>
      </c>
      <c r="R4">
        <v>0</v>
      </c>
      <c r="S4">
        <v>0.5</v>
      </c>
      <c r="T4">
        <v>47.312016399999997</v>
      </c>
      <c r="U4">
        <v>-78.625148999999993</v>
      </c>
      <c r="V4">
        <v>49.666409999999999</v>
      </c>
      <c r="W4">
        <v>31.558789999999998</v>
      </c>
    </row>
    <row r="5" spans="1:23" x14ac:dyDescent="0.15">
      <c r="A5">
        <v>0</v>
      </c>
      <c r="B5">
        <v>3</v>
      </c>
      <c r="C5">
        <f t="shared" si="0"/>
        <v>0.25</v>
      </c>
      <c r="G5" t="s">
        <v>86</v>
      </c>
      <c r="H5">
        <f>H4+1/12</f>
        <v>0.20833333333333331</v>
      </c>
      <c r="I5">
        <v>36.5</v>
      </c>
      <c r="J5">
        <v>37.4</v>
      </c>
      <c r="K5">
        <v>38.4</v>
      </c>
      <c r="L5">
        <v>39.5</v>
      </c>
      <c r="M5">
        <v>40.6</v>
      </c>
      <c r="N5">
        <v>41.7</v>
      </c>
      <c r="O5">
        <v>42.8</v>
      </c>
      <c r="R5">
        <v>0.5</v>
      </c>
      <c r="S5">
        <v>1</v>
      </c>
      <c r="T5">
        <v>5.1995720849999998</v>
      </c>
      <c r="U5">
        <v>-15.456483</v>
      </c>
      <c r="V5">
        <v>18.082070000000002</v>
      </c>
      <c r="W5">
        <v>36.822850000000003</v>
      </c>
    </row>
    <row r="6" spans="1:23" x14ac:dyDescent="0.15">
      <c r="A6">
        <v>0</v>
      </c>
      <c r="B6">
        <v>4</v>
      </c>
      <c r="C6">
        <f t="shared" si="0"/>
        <v>0.33333333333333331</v>
      </c>
      <c r="G6" t="s">
        <v>87</v>
      </c>
      <c r="H6">
        <f t="shared" ref="H6:H26" si="1">H5+1/12</f>
        <v>0.29166666666666663</v>
      </c>
      <c r="I6">
        <v>38</v>
      </c>
      <c r="J6">
        <v>38.9</v>
      </c>
      <c r="K6">
        <v>39.9</v>
      </c>
      <c r="L6">
        <v>41.1</v>
      </c>
      <c r="M6">
        <v>42.2</v>
      </c>
      <c r="N6">
        <v>43.3</v>
      </c>
      <c r="O6">
        <v>44.5</v>
      </c>
      <c r="R6">
        <v>1</v>
      </c>
      <c r="S6">
        <v>2</v>
      </c>
      <c r="T6">
        <v>-0.21143497999999999</v>
      </c>
      <c r="U6">
        <v>0.77653821999999995</v>
      </c>
      <c r="V6">
        <v>1.849054</v>
      </c>
      <c r="W6">
        <v>42.233849999999997</v>
      </c>
    </row>
    <row r="7" spans="1:23" x14ac:dyDescent="0.15">
      <c r="A7">
        <v>0</v>
      </c>
      <c r="B7">
        <v>5</v>
      </c>
      <c r="C7">
        <f t="shared" si="0"/>
        <v>0.41666666666666669</v>
      </c>
      <c r="G7" t="s">
        <v>88</v>
      </c>
      <c r="H7">
        <f t="shared" si="1"/>
        <v>0.37499999999999994</v>
      </c>
      <c r="I7">
        <v>38.9</v>
      </c>
      <c r="J7">
        <v>39.9</v>
      </c>
      <c r="K7">
        <v>40.9</v>
      </c>
      <c r="L7">
        <v>42.1</v>
      </c>
      <c r="M7">
        <v>43.3</v>
      </c>
      <c r="N7">
        <v>44.4</v>
      </c>
      <c r="O7">
        <v>45.6</v>
      </c>
      <c r="R7">
        <v>2</v>
      </c>
      <c r="S7">
        <v>4</v>
      </c>
      <c r="T7">
        <v>0.118880213</v>
      </c>
      <c r="U7">
        <v>-1.2053529000000001</v>
      </c>
      <c r="V7">
        <v>5.8128359999999999</v>
      </c>
      <c r="W7">
        <v>39.591329999999999</v>
      </c>
    </row>
    <row r="8" spans="1:23" x14ac:dyDescent="0.15">
      <c r="A8">
        <v>0</v>
      </c>
      <c r="B8">
        <v>6</v>
      </c>
      <c r="C8">
        <f t="shared" si="0"/>
        <v>0.5</v>
      </c>
      <c r="G8" t="s">
        <v>89</v>
      </c>
      <c r="H8">
        <f t="shared" si="1"/>
        <v>0.45833333333333326</v>
      </c>
      <c r="I8">
        <v>39.5</v>
      </c>
      <c r="J8">
        <v>40.5</v>
      </c>
      <c r="K8">
        <v>41.5</v>
      </c>
      <c r="L8">
        <v>42.7</v>
      </c>
      <c r="M8">
        <v>44</v>
      </c>
      <c r="N8">
        <v>45.1</v>
      </c>
      <c r="O8">
        <v>46.4</v>
      </c>
      <c r="R8">
        <v>4</v>
      </c>
      <c r="T8">
        <v>-0.12250610000000001</v>
      </c>
      <c r="U8">
        <v>1.6912828799999999</v>
      </c>
      <c r="V8">
        <v>-5.7737100000000003</v>
      </c>
      <c r="W8">
        <v>55.040059999999997</v>
      </c>
    </row>
    <row r="9" spans="1:23" x14ac:dyDescent="0.15">
      <c r="A9">
        <v>0</v>
      </c>
      <c r="B9">
        <v>7</v>
      </c>
      <c r="C9">
        <f t="shared" si="0"/>
        <v>0.58333333333333337</v>
      </c>
      <c r="G9" t="s">
        <v>90</v>
      </c>
      <c r="H9">
        <f t="shared" si="1"/>
        <v>0.54166666666666663</v>
      </c>
      <c r="I9">
        <v>39.9</v>
      </c>
      <c r="J9">
        <v>40.9</v>
      </c>
      <c r="K9">
        <v>42</v>
      </c>
      <c r="L9">
        <v>43.2</v>
      </c>
      <c r="M9">
        <v>44.4</v>
      </c>
      <c r="N9">
        <v>45.6</v>
      </c>
      <c r="O9">
        <v>46.9</v>
      </c>
      <c r="Q9" t="s">
        <v>111</v>
      </c>
      <c r="R9">
        <v>0</v>
      </c>
      <c r="S9">
        <v>1</v>
      </c>
      <c r="T9">
        <v>-4.3275099999999997E-3</v>
      </c>
      <c r="U9">
        <v>1.5424800000000001E-2</v>
      </c>
      <c r="V9">
        <v>-2.155E-2</v>
      </c>
      <c r="W9">
        <v>5.3836000000000002E-2</v>
      </c>
    </row>
    <row r="10" spans="1:23" x14ac:dyDescent="0.15">
      <c r="A10">
        <v>0</v>
      </c>
      <c r="B10">
        <v>8</v>
      </c>
      <c r="C10">
        <f t="shared" si="0"/>
        <v>0.66666666666666663</v>
      </c>
      <c r="G10" t="s">
        <v>91</v>
      </c>
      <c r="H10">
        <f t="shared" si="1"/>
        <v>0.625</v>
      </c>
      <c r="I10">
        <v>40.299999999999997</v>
      </c>
      <c r="J10">
        <v>41.3</v>
      </c>
      <c r="K10">
        <v>42.4</v>
      </c>
      <c r="L10">
        <v>43.6</v>
      </c>
      <c r="M10">
        <v>44.8</v>
      </c>
      <c r="N10">
        <v>46</v>
      </c>
      <c r="O10">
        <v>47.3</v>
      </c>
      <c r="R10">
        <v>1</v>
      </c>
      <c r="T10">
        <v>-2.4883800000000003E-4</v>
      </c>
      <c r="U10">
        <v>3.1887810000000003E-3</v>
      </c>
      <c r="V10">
        <v>-9.3097900000000001E-3</v>
      </c>
      <c r="W10">
        <v>4.9757611E-2</v>
      </c>
    </row>
    <row r="11" spans="1:23" x14ac:dyDescent="0.15">
      <c r="A11">
        <v>0</v>
      </c>
      <c r="B11">
        <v>9</v>
      </c>
      <c r="C11">
        <f t="shared" si="0"/>
        <v>0.75</v>
      </c>
      <c r="G11" t="s">
        <v>92</v>
      </c>
      <c r="H11">
        <f t="shared" si="1"/>
        <v>0.70833333333333337</v>
      </c>
      <c r="I11">
        <v>40.799999999999997</v>
      </c>
      <c r="J11">
        <v>41.8</v>
      </c>
      <c r="K11">
        <v>42.8</v>
      </c>
      <c r="L11">
        <v>44</v>
      </c>
      <c r="M11">
        <v>45.2</v>
      </c>
      <c r="N11">
        <v>46.4</v>
      </c>
      <c r="O11">
        <v>47.8</v>
      </c>
    </row>
    <row r="12" spans="1:23" x14ac:dyDescent="0.15">
      <c r="A12">
        <v>0</v>
      </c>
      <c r="B12">
        <v>10</v>
      </c>
      <c r="C12">
        <f t="shared" si="0"/>
        <v>0.83333333333333337</v>
      </c>
      <c r="G12" t="s">
        <v>93</v>
      </c>
      <c r="H12">
        <f t="shared" si="1"/>
        <v>0.79166666666666674</v>
      </c>
      <c r="I12">
        <v>41.1</v>
      </c>
      <c r="J12">
        <v>42.1</v>
      </c>
      <c r="K12">
        <v>43.1</v>
      </c>
      <c r="L12">
        <v>44.3</v>
      </c>
      <c r="M12">
        <v>45.5</v>
      </c>
      <c r="N12">
        <v>46.7</v>
      </c>
      <c r="O12">
        <v>48.1</v>
      </c>
    </row>
    <row r="13" spans="1:23" x14ac:dyDescent="0.15">
      <c r="A13">
        <v>0</v>
      </c>
      <c r="B13">
        <v>11</v>
      </c>
      <c r="C13">
        <f t="shared" si="0"/>
        <v>0.91666666666666663</v>
      </c>
      <c r="G13" t="s">
        <v>94</v>
      </c>
      <c r="H13">
        <f t="shared" si="1"/>
        <v>0.87500000000000011</v>
      </c>
      <c r="I13">
        <v>41.3</v>
      </c>
      <c r="J13">
        <v>42.3</v>
      </c>
      <c r="K13">
        <v>43.4</v>
      </c>
      <c r="L13">
        <v>44.6</v>
      </c>
      <c r="M13">
        <v>45.8</v>
      </c>
      <c r="N13">
        <v>47.1</v>
      </c>
      <c r="O13">
        <v>48.4</v>
      </c>
    </row>
    <row r="14" spans="1:23" x14ac:dyDescent="0.15">
      <c r="A14">
        <v>1</v>
      </c>
      <c r="B14">
        <v>0</v>
      </c>
      <c r="C14">
        <f t="shared" si="0"/>
        <v>1</v>
      </c>
      <c r="G14" t="s">
        <v>95</v>
      </c>
      <c r="H14">
        <f t="shared" si="1"/>
        <v>0.95833333333333348</v>
      </c>
      <c r="I14">
        <v>41.6</v>
      </c>
      <c r="J14">
        <v>42.6</v>
      </c>
      <c r="K14">
        <v>43.6</v>
      </c>
      <c r="L14">
        <v>44.8</v>
      </c>
      <c r="M14">
        <v>46.1</v>
      </c>
      <c r="N14">
        <v>47.3</v>
      </c>
      <c r="O14">
        <v>48.7</v>
      </c>
    </row>
    <row r="15" spans="1:23" x14ac:dyDescent="0.15">
      <c r="A15">
        <v>1</v>
      </c>
      <c r="B15">
        <v>1</v>
      </c>
      <c r="C15">
        <f t="shared" si="0"/>
        <v>1.0833333333333333</v>
      </c>
      <c r="G15" t="s">
        <v>96</v>
      </c>
      <c r="H15">
        <f t="shared" si="1"/>
        <v>1.0416666666666667</v>
      </c>
      <c r="I15">
        <v>41.8</v>
      </c>
      <c r="J15">
        <v>42.8</v>
      </c>
      <c r="K15">
        <v>43.9</v>
      </c>
      <c r="L15">
        <v>45.1</v>
      </c>
      <c r="M15">
        <v>46.4</v>
      </c>
      <c r="N15">
        <v>47.7</v>
      </c>
      <c r="O15">
        <v>49.1</v>
      </c>
    </row>
    <row r="16" spans="1:23" x14ac:dyDescent="0.15">
      <c r="A16">
        <v>1</v>
      </c>
      <c r="B16">
        <v>2</v>
      </c>
      <c r="C16">
        <f t="shared" si="0"/>
        <v>1.1666666666666667</v>
      </c>
      <c r="G16" t="s">
        <v>97</v>
      </c>
      <c r="H16">
        <f t="shared" si="1"/>
        <v>1.125</v>
      </c>
      <c r="I16">
        <v>42.1</v>
      </c>
      <c r="J16">
        <v>43.1</v>
      </c>
      <c r="K16">
        <v>44.1</v>
      </c>
      <c r="L16">
        <v>45.4</v>
      </c>
      <c r="M16">
        <v>46.7</v>
      </c>
      <c r="N16">
        <v>48</v>
      </c>
      <c r="O16">
        <v>49.4</v>
      </c>
    </row>
    <row r="17" spans="1:15" x14ac:dyDescent="0.15">
      <c r="A17">
        <v>1</v>
      </c>
      <c r="B17">
        <v>3</v>
      </c>
      <c r="C17">
        <f t="shared" si="0"/>
        <v>1.25</v>
      </c>
      <c r="G17" t="s">
        <v>86</v>
      </c>
      <c r="H17">
        <f t="shared" si="1"/>
        <v>1.2083333333333333</v>
      </c>
      <c r="I17">
        <v>42.3</v>
      </c>
      <c r="J17">
        <v>43.3</v>
      </c>
      <c r="K17">
        <v>44.4</v>
      </c>
      <c r="L17">
        <v>45.6</v>
      </c>
      <c r="M17">
        <v>46.9</v>
      </c>
      <c r="N17">
        <v>48.3</v>
      </c>
      <c r="O17">
        <v>49.7</v>
      </c>
    </row>
    <row r="18" spans="1:15" x14ac:dyDescent="0.15">
      <c r="A18">
        <v>1</v>
      </c>
      <c r="B18">
        <v>4</v>
      </c>
      <c r="C18">
        <f t="shared" si="0"/>
        <v>1.3333333333333333</v>
      </c>
      <c r="G18" t="s">
        <v>87</v>
      </c>
      <c r="H18">
        <f t="shared" si="1"/>
        <v>1.2916666666666665</v>
      </c>
      <c r="I18">
        <v>42.5</v>
      </c>
      <c r="J18">
        <v>43.5</v>
      </c>
      <c r="K18">
        <v>44.6</v>
      </c>
      <c r="L18">
        <v>45.8</v>
      </c>
      <c r="M18">
        <v>47.2</v>
      </c>
      <c r="N18">
        <v>48.5</v>
      </c>
      <c r="O18">
        <v>49.9</v>
      </c>
    </row>
    <row r="19" spans="1:15" x14ac:dyDescent="0.15">
      <c r="A19">
        <v>1</v>
      </c>
      <c r="B19">
        <v>5</v>
      </c>
      <c r="C19">
        <f t="shared" si="0"/>
        <v>1.4166666666666667</v>
      </c>
      <c r="G19" t="s">
        <v>88</v>
      </c>
      <c r="H19">
        <f t="shared" si="1"/>
        <v>1.3749999999999998</v>
      </c>
      <c r="I19">
        <v>42.7</v>
      </c>
      <c r="J19">
        <v>43.7</v>
      </c>
      <c r="K19">
        <v>44.8</v>
      </c>
      <c r="L19">
        <v>46</v>
      </c>
      <c r="M19">
        <v>47.4</v>
      </c>
      <c r="N19">
        <v>48.8</v>
      </c>
      <c r="O19">
        <v>50.1</v>
      </c>
    </row>
    <row r="20" spans="1:15" x14ac:dyDescent="0.15">
      <c r="A20">
        <v>1</v>
      </c>
      <c r="B20">
        <v>6</v>
      </c>
      <c r="C20">
        <f t="shared" si="0"/>
        <v>1.5</v>
      </c>
      <c r="G20" t="s">
        <v>89</v>
      </c>
      <c r="H20">
        <f t="shared" si="1"/>
        <v>1.458333333333333</v>
      </c>
      <c r="I20">
        <v>42.9</v>
      </c>
      <c r="J20">
        <v>43.9</v>
      </c>
      <c r="K20">
        <v>45</v>
      </c>
      <c r="L20">
        <v>46.2</v>
      </c>
      <c r="M20">
        <v>47.6</v>
      </c>
      <c r="N20">
        <v>49</v>
      </c>
      <c r="O20">
        <v>50.4</v>
      </c>
    </row>
    <row r="21" spans="1:15" x14ac:dyDescent="0.15">
      <c r="A21">
        <v>1</v>
      </c>
      <c r="B21">
        <v>7</v>
      </c>
      <c r="C21">
        <f t="shared" si="0"/>
        <v>1.5833333333333335</v>
      </c>
      <c r="G21" t="s">
        <v>90</v>
      </c>
      <c r="H21">
        <f t="shared" si="1"/>
        <v>1.5416666666666663</v>
      </c>
      <c r="I21">
        <v>43.1</v>
      </c>
      <c r="J21">
        <v>44.1</v>
      </c>
      <c r="K21">
        <v>45.2</v>
      </c>
      <c r="L21">
        <v>46.5</v>
      </c>
      <c r="M21">
        <v>47.8</v>
      </c>
      <c r="N21">
        <v>49.2</v>
      </c>
      <c r="O21">
        <v>50.6</v>
      </c>
    </row>
    <row r="22" spans="1:15" x14ac:dyDescent="0.15">
      <c r="A22">
        <v>1</v>
      </c>
      <c r="B22">
        <v>8</v>
      </c>
      <c r="C22">
        <f t="shared" si="0"/>
        <v>1.6666666666666665</v>
      </c>
      <c r="G22" t="s">
        <v>91</v>
      </c>
      <c r="H22">
        <f t="shared" si="1"/>
        <v>1.6249999999999996</v>
      </c>
      <c r="I22">
        <v>43.3</v>
      </c>
      <c r="J22">
        <v>44.3</v>
      </c>
      <c r="K22">
        <v>45.4</v>
      </c>
      <c r="L22">
        <v>46.7</v>
      </c>
      <c r="M22">
        <v>48.1</v>
      </c>
      <c r="N22">
        <v>49.5</v>
      </c>
      <c r="O22">
        <v>50.9</v>
      </c>
    </row>
    <row r="23" spans="1:15" x14ac:dyDescent="0.15">
      <c r="A23">
        <v>1</v>
      </c>
      <c r="B23">
        <v>9</v>
      </c>
      <c r="C23">
        <f t="shared" si="0"/>
        <v>1.75</v>
      </c>
      <c r="G23" t="s">
        <v>92</v>
      </c>
      <c r="H23">
        <f t="shared" si="1"/>
        <v>1.7083333333333328</v>
      </c>
      <c r="I23">
        <v>43.5</v>
      </c>
      <c r="J23">
        <v>44.5</v>
      </c>
      <c r="K23">
        <v>45.6</v>
      </c>
      <c r="L23">
        <v>46.9</v>
      </c>
      <c r="M23">
        <v>48.3</v>
      </c>
      <c r="N23">
        <v>49.7</v>
      </c>
      <c r="O23">
        <v>51.1</v>
      </c>
    </row>
    <row r="24" spans="1:15" x14ac:dyDescent="0.15">
      <c r="A24">
        <v>1</v>
      </c>
      <c r="B24">
        <v>10</v>
      </c>
      <c r="C24">
        <f t="shared" si="0"/>
        <v>1.8333333333333335</v>
      </c>
      <c r="G24" t="s">
        <v>93</v>
      </c>
      <c r="H24">
        <f t="shared" si="1"/>
        <v>1.7916666666666661</v>
      </c>
      <c r="I24">
        <v>43.7</v>
      </c>
      <c r="J24">
        <v>44.7</v>
      </c>
      <c r="K24">
        <v>45.8</v>
      </c>
      <c r="L24">
        <v>47.1</v>
      </c>
      <c r="M24">
        <v>48.5</v>
      </c>
      <c r="N24">
        <v>49.9</v>
      </c>
      <c r="O24">
        <v>51.3</v>
      </c>
    </row>
    <row r="25" spans="1:15" x14ac:dyDescent="0.15">
      <c r="A25">
        <v>1</v>
      </c>
      <c r="B25">
        <v>11</v>
      </c>
      <c r="C25">
        <f t="shared" si="0"/>
        <v>1.9166666666666665</v>
      </c>
      <c r="G25" t="s">
        <v>94</v>
      </c>
      <c r="H25">
        <f t="shared" si="1"/>
        <v>1.8749999999999993</v>
      </c>
      <c r="I25">
        <v>43.8</v>
      </c>
      <c r="J25">
        <v>44.9</v>
      </c>
      <c r="K25">
        <v>46</v>
      </c>
      <c r="L25">
        <v>47.2</v>
      </c>
      <c r="M25">
        <v>48.6</v>
      </c>
      <c r="N25">
        <v>50.1</v>
      </c>
      <c r="O25">
        <v>51.6</v>
      </c>
    </row>
    <row r="26" spans="1:15" x14ac:dyDescent="0.15">
      <c r="A26">
        <v>2</v>
      </c>
      <c r="B26">
        <v>0</v>
      </c>
      <c r="C26">
        <f t="shared" si="0"/>
        <v>2</v>
      </c>
      <c r="G26" t="s">
        <v>95</v>
      </c>
      <c r="H26">
        <f t="shared" si="1"/>
        <v>1.9583333333333326</v>
      </c>
      <c r="I26">
        <v>43.9</v>
      </c>
      <c r="J26">
        <v>45</v>
      </c>
      <c r="K26">
        <v>46.1</v>
      </c>
      <c r="L26">
        <v>47.4</v>
      </c>
      <c r="M26">
        <v>48.8</v>
      </c>
      <c r="N26">
        <v>50.3</v>
      </c>
      <c r="O26">
        <v>51.8</v>
      </c>
    </row>
    <row r="27" spans="1:15" x14ac:dyDescent="0.15">
      <c r="A27">
        <v>2</v>
      </c>
      <c r="B27">
        <v>1</v>
      </c>
      <c r="C27">
        <f t="shared" si="0"/>
        <v>2.0833333333333335</v>
      </c>
      <c r="G27" t="s">
        <v>98</v>
      </c>
      <c r="H27">
        <f>2+3/12</f>
        <v>2.25</v>
      </c>
      <c r="I27">
        <v>44.5</v>
      </c>
      <c r="J27">
        <v>45.5</v>
      </c>
      <c r="K27">
        <v>46.7</v>
      </c>
      <c r="L27">
        <v>48</v>
      </c>
      <c r="M27">
        <v>49.4</v>
      </c>
      <c r="N27">
        <v>51</v>
      </c>
      <c r="O27">
        <v>52.4</v>
      </c>
    </row>
    <row r="28" spans="1:15" x14ac:dyDescent="0.15">
      <c r="A28">
        <v>2</v>
      </c>
      <c r="B28">
        <v>2</v>
      </c>
      <c r="C28">
        <f t="shared" si="0"/>
        <v>2.1666666666666665</v>
      </c>
      <c r="G28" t="s">
        <v>99</v>
      </c>
      <c r="H28">
        <f t="shared" ref="H28:H35" si="2">H27+0.5</f>
        <v>2.75</v>
      </c>
      <c r="I28">
        <v>45.2</v>
      </c>
      <c r="J28">
        <v>46.3</v>
      </c>
      <c r="K28">
        <v>47.5</v>
      </c>
      <c r="L28">
        <v>48.9</v>
      </c>
      <c r="M28">
        <v>50.3</v>
      </c>
      <c r="N28">
        <v>52</v>
      </c>
      <c r="O28">
        <v>53.6</v>
      </c>
    </row>
    <row r="29" spans="1:15" x14ac:dyDescent="0.15">
      <c r="A29">
        <v>2</v>
      </c>
      <c r="B29">
        <v>3</v>
      </c>
      <c r="C29">
        <f t="shared" si="0"/>
        <v>2.25</v>
      </c>
      <c r="G29" t="s">
        <v>100</v>
      </c>
      <c r="H29">
        <f t="shared" si="2"/>
        <v>3.25</v>
      </c>
      <c r="I29">
        <v>46</v>
      </c>
      <c r="J29">
        <v>47.2</v>
      </c>
      <c r="K29">
        <v>48.5</v>
      </c>
      <c r="L29">
        <v>49.8</v>
      </c>
      <c r="M29">
        <v>51.3</v>
      </c>
      <c r="N29">
        <v>53.1</v>
      </c>
      <c r="O29">
        <v>54.8</v>
      </c>
    </row>
    <row r="30" spans="1:15" x14ac:dyDescent="0.15">
      <c r="A30">
        <v>2</v>
      </c>
      <c r="B30">
        <v>4</v>
      </c>
      <c r="C30">
        <f t="shared" si="0"/>
        <v>2.3333333333333335</v>
      </c>
      <c r="G30" t="s">
        <v>99</v>
      </c>
      <c r="H30">
        <f t="shared" si="2"/>
        <v>3.75</v>
      </c>
      <c r="I30">
        <v>46.9</v>
      </c>
      <c r="J30">
        <v>48.1</v>
      </c>
      <c r="K30">
        <v>49.4</v>
      </c>
      <c r="L30">
        <v>50.8</v>
      </c>
      <c r="M30">
        <v>52.3</v>
      </c>
      <c r="N30">
        <v>54.2</v>
      </c>
      <c r="O30">
        <v>56</v>
      </c>
    </row>
    <row r="31" spans="1:15" x14ac:dyDescent="0.15">
      <c r="A31">
        <v>2</v>
      </c>
      <c r="B31">
        <v>5</v>
      </c>
      <c r="C31">
        <f t="shared" si="0"/>
        <v>2.4166666666666665</v>
      </c>
      <c r="G31" t="s">
        <v>101</v>
      </c>
      <c r="H31">
        <f t="shared" si="2"/>
        <v>4.25</v>
      </c>
      <c r="I31">
        <v>47.8</v>
      </c>
      <c r="J31">
        <v>49</v>
      </c>
      <c r="K31">
        <v>50.4</v>
      </c>
      <c r="L31">
        <v>51.8</v>
      </c>
      <c r="M31">
        <v>53.3</v>
      </c>
      <c r="N31">
        <v>55.4</v>
      </c>
      <c r="O31">
        <v>57.6</v>
      </c>
    </row>
    <row r="32" spans="1:15" x14ac:dyDescent="0.15">
      <c r="A32">
        <v>2</v>
      </c>
      <c r="B32">
        <v>6</v>
      </c>
      <c r="C32">
        <f t="shared" si="0"/>
        <v>2.5</v>
      </c>
      <c r="G32" t="s">
        <v>99</v>
      </c>
      <c r="H32">
        <f t="shared" si="2"/>
        <v>4.75</v>
      </c>
      <c r="I32">
        <v>48.7</v>
      </c>
      <c r="J32">
        <v>49.9</v>
      </c>
      <c r="K32">
        <v>51.3</v>
      </c>
      <c r="L32">
        <v>52.7</v>
      </c>
      <c r="M32">
        <v>54.4</v>
      </c>
      <c r="N32">
        <v>56.7</v>
      </c>
      <c r="O32">
        <v>59.1</v>
      </c>
    </row>
    <row r="33" spans="1:15" x14ac:dyDescent="0.15">
      <c r="A33">
        <v>2</v>
      </c>
      <c r="B33">
        <v>7</v>
      </c>
      <c r="C33">
        <f t="shared" si="0"/>
        <v>2.5833333333333335</v>
      </c>
      <c r="G33" t="s">
        <v>102</v>
      </c>
      <c r="H33">
        <f t="shared" si="2"/>
        <v>5.25</v>
      </c>
      <c r="I33">
        <v>49.5</v>
      </c>
      <c r="J33">
        <v>50.8</v>
      </c>
      <c r="K33">
        <v>52.2</v>
      </c>
      <c r="L33">
        <v>53.7</v>
      </c>
      <c r="M33">
        <v>55.5</v>
      </c>
      <c r="N33">
        <v>58</v>
      </c>
      <c r="O33">
        <v>60.6</v>
      </c>
    </row>
    <row r="34" spans="1:15" x14ac:dyDescent="0.15">
      <c r="A34">
        <v>2</v>
      </c>
      <c r="B34">
        <v>8</v>
      </c>
      <c r="C34">
        <f t="shared" si="0"/>
        <v>2.6666666666666665</v>
      </c>
      <c r="G34" t="s">
        <v>99</v>
      </c>
      <c r="H34">
        <f t="shared" si="2"/>
        <v>5.75</v>
      </c>
      <c r="I34">
        <v>50.4</v>
      </c>
      <c r="J34">
        <v>51.7</v>
      </c>
      <c r="K34">
        <v>53.1</v>
      </c>
      <c r="L34">
        <v>54.6</v>
      </c>
      <c r="M34">
        <v>56.7</v>
      </c>
      <c r="N34">
        <v>59.3</v>
      </c>
      <c r="O34">
        <v>62.1</v>
      </c>
    </row>
    <row r="35" spans="1:15" x14ac:dyDescent="0.15">
      <c r="A35">
        <v>2</v>
      </c>
      <c r="B35">
        <v>9</v>
      </c>
      <c r="C35">
        <f t="shared" si="0"/>
        <v>2.75</v>
      </c>
      <c r="G35" t="s">
        <v>103</v>
      </c>
      <c r="H35">
        <f t="shared" si="2"/>
        <v>6.25</v>
      </c>
      <c r="I35">
        <v>51.3</v>
      </c>
      <c r="J35">
        <v>52.6</v>
      </c>
      <c r="K35">
        <v>54.1</v>
      </c>
      <c r="L35">
        <v>55.7</v>
      </c>
      <c r="M35">
        <v>57.9</v>
      </c>
      <c r="N35">
        <v>60.7</v>
      </c>
      <c r="O35">
        <v>63.6</v>
      </c>
    </row>
    <row r="36" spans="1:15" x14ac:dyDescent="0.15">
      <c r="A36">
        <v>2</v>
      </c>
      <c r="B36">
        <v>10</v>
      </c>
      <c r="C36">
        <f t="shared" si="0"/>
        <v>2.8333333333333335</v>
      </c>
    </row>
    <row r="37" spans="1:15" x14ac:dyDescent="0.15">
      <c r="A37">
        <v>2</v>
      </c>
      <c r="B37">
        <v>11</v>
      </c>
      <c r="C37">
        <f t="shared" si="0"/>
        <v>2.9166666666666665</v>
      </c>
    </row>
    <row r="38" spans="1:15" x14ac:dyDescent="0.15">
      <c r="A38">
        <v>3</v>
      </c>
      <c r="B38">
        <v>0</v>
      </c>
      <c r="C38">
        <f t="shared" si="0"/>
        <v>3</v>
      </c>
    </row>
    <row r="39" spans="1:15" x14ac:dyDescent="0.15">
      <c r="A39">
        <v>3</v>
      </c>
      <c r="B39">
        <v>1</v>
      </c>
      <c r="C39">
        <f t="shared" si="0"/>
        <v>3.0833333333333335</v>
      </c>
    </row>
    <row r="40" spans="1:15" x14ac:dyDescent="0.15">
      <c r="A40">
        <v>3</v>
      </c>
      <c r="B40">
        <v>2</v>
      </c>
      <c r="C40">
        <f t="shared" si="0"/>
        <v>3.1666666666666665</v>
      </c>
    </row>
    <row r="41" spans="1:15" x14ac:dyDescent="0.15">
      <c r="A41">
        <v>3</v>
      </c>
      <c r="B41">
        <v>3</v>
      </c>
      <c r="C41">
        <f t="shared" si="0"/>
        <v>3.25</v>
      </c>
    </row>
    <row r="42" spans="1:15" x14ac:dyDescent="0.15">
      <c r="A42">
        <v>3</v>
      </c>
      <c r="B42">
        <v>4</v>
      </c>
      <c r="C42">
        <f t="shared" si="0"/>
        <v>3.3333333333333335</v>
      </c>
    </row>
    <row r="43" spans="1:15" x14ac:dyDescent="0.15">
      <c r="A43">
        <v>3</v>
      </c>
      <c r="B43">
        <v>5</v>
      </c>
      <c r="C43">
        <f t="shared" si="0"/>
        <v>3.4166666666666665</v>
      </c>
    </row>
    <row r="44" spans="1:15" x14ac:dyDescent="0.15">
      <c r="A44">
        <v>3</v>
      </c>
      <c r="B44">
        <v>6</v>
      </c>
      <c r="C44">
        <f t="shared" si="0"/>
        <v>3.5</v>
      </c>
    </row>
    <row r="45" spans="1:15" x14ac:dyDescent="0.15">
      <c r="A45">
        <v>3</v>
      </c>
      <c r="B45">
        <v>7</v>
      </c>
      <c r="C45">
        <f t="shared" si="0"/>
        <v>3.5833333333333335</v>
      </c>
    </row>
    <row r="46" spans="1:15" x14ac:dyDescent="0.15">
      <c r="A46">
        <v>3</v>
      </c>
      <c r="B46">
        <v>8</v>
      </c>
      <c r="C46">
        <f t="shared" si="0"/>
        <v>3.6666666666666665</v>
      </c>
    </row>
    <row r="47" spans="1:15" x14ac:dyDescent="0.15">
      <c r="A47">
        <v>3</v>
      </c>
      <c r="B47">
        <v>9</v>
      </c>
      <c r="C47">
        <f t="shared" si="0"/>
        <v>3.75</v>
      </c>
    </row>
    <row r="48" spans="1:15" x14ac:dyDescent="0.15">
      <c r="A48">
        <v>3</v>
      </c>
      <c r="B48">
        <v>10</v>
      </c>
      <c r="C48">
        <f t="shared" si="0"/>
        <v>3.8333333333333335</v>
      </c>
    </row>
    <row r="49" spans="1:3" x14ac:dyDescent="0.15">
      <c r="A49">
        <v>3</v>
      </c>
      <c r="B49">
        <v>11</v>
      </c>
      <c r="C49">
        <f t="shared" si="0"/>
        <v>3.9166666666666665</v>
      </c>
    </row>
    <row r="50" spans="1:3" x14ac:dyDescent="0.15">
      <c r="A50">
        <v>4</v>
      </c>
      <c r="B50">
        <v>0</v>
      </c>
      <c r="C50">
        <f t="shared" si="0"/>
        <v>4</v>
      </c>
    </row>
    <row r="51" spans="1:3" x14ac:dyDescent="0.15">
      <c r="A51">
        <v>4</v>
      </c>
      <c r="B51">
        <v>1</v>
      </c>
      <c r="C51">
        <f t="shared" si="0"/>
        <v>4.083333333333333</v>
      </c>
    </row>
    <row r="52" spans="1:3" x14ac:dyDescent="0.15">
      <c r="A52">
        <v>4</v>
      </c>
      <c r="B52">
        <v>2</v>
      </c>
      <c r="C52">
        <f t="shared" si="0"/>
        <v>4.166666666666667</v>
      </c>
    </row>
    <row r="53" spans="1:3" x14ac:dyDescent="0.15">
      <c r="A53">
        <v>4</v>
      </c>
      <c r="B53">
        <v>3</v>
      </c>
      <c r="C53">
        <f t="shared" si="0"/>
        <v>4.25</v>
      </c>
    </row>
    <row r="54" spans="1:3" x14ac:dyDescent="0.15">
      <c r="A54">
        <v>4</v>
      </c>
      <c r="B54">
        <v>4</v>
      </c>
      <c r="C54">
        <f t="shared" si="0"/>
        <v>4.333333333333333</v>
      </c>
    </row>
    <row r="55" spans="1:3" x14ac:dyDescent="0.15">
      <c r="A55">
        <v>4</v>
      </c>
      <c r="B55">
        <v>5</v>
      </c>
      <c r="C55">
        <f t="shared" si="0"/>
        <v>4.416666666666667</v>
      </c>
    </row>
    <row r="56" spans="1:3" x14ac:dyDescent="0.15">
      <c r="A56">
        <v>4</v>
      </c>
      <c r="B56">
        <v>6</v>
      </c>
      <c r="C56">
        <f t="shared" si="0"/>
        <v>4.5</v>
      </c>
    </row>
    <row r="57" spans="1:3" x14ac:dyDescent="0.15">
      <c r="A57">
        <v>4</v>
      </c>
      <c r="B57">
        <v>7</v>
      </c>
      <c r="C57">
        <f t="shared" si="0"/>
        <v>4.583333333333333</v>
      </c>
    </row>
    <row r="58" spans="1:3" x14ac:dyDescent="0.15">
      <c r="A58">
        <v>4</v>
      </c>
      <c r="B58">
        <v>8</v>
      </c>
      <c r="C58">
        <f t="shared" si="0"/>
        <v>4.666666666666667</v>
      </c>
    </row>
    <row r="59" spans="1:3" x14ac:dyDescent="0.15">
      <c r="A59">
        <v>4</v>
      </c>
      <c r="B59">
        <v>9</v>
      </c>
      <c r="C59">
        <f t="shared" si="0"/>
        <v>4.75</v>
      </c>
    </row>
    <row r="60" spans="1:3" x14ac:dyDescent="0.15">
      <c r="A60">
        <v>4</v>
      </c>
      <c r="B60">
        <v>10</v>
      </c>
      <c r="C60">
        <f t="shared" si="0"/>
        <v>4.833333333333333</v>
      </c>
    </row>
    <row r="61" spans="1:3" x14ac:dyDescent="0.15">
      <c r="A61">
        <v>4</v>
      </c>
      <c r="B61">
        <v>11</v>
      </c>
      <c r="C61">
        <f t="shared" si="0"/>
        <v>4.916666666666667</v>
      </c>
    </row>
    <row r="62" spans="1:3" x14ac:dyDescent="0.15">
      <c r="A62">
        <v>5</v>
      </c>
      <c r="B62">
        <v>0</v>
      </c>
      <c r="C62">
        <f t="shared" si="0"/>
        <v>5</v>
      </c>
    </row>
    <row r="63" spans="1:3" x14ac:dyDescent="0.15">
      <c r="A63">
        <v>5</v>
      </c>
      <c r="B63">
        <v>1</v>
      </c>
      <c r="C63">
        <f t="shared" si="0"/>
        <v>5.083333333333333</v>
      </c>
    </row>
    <row r="64" spans="1:3" x14ac:dyDescent="0.15">
      <c r="A64">
        <v>5</v>
      </c>
      <c r="B64">
        <v>2</v>
      </c>
      <c r="C64">
        <f t="shared" si="0"/>
        <v>5.166666666666667</v>
      </c>
    </row>
    <row r="65" spans="1:3" x14ac:dyDescent="0.15">
      <c r="A65">
        <v>5</v>
      </c>
      <c r="B65">
        <v>3</v>
      </c>
      <c r="C65">
        <f t="shared" si="0"/>
        <v>5.25</v>
      </c>
    </row>
    <row r="66" spans="1:3" x14ac:dyDescent="0.15">
      <c r="A66">
        <v>5</v>
      </c>
      <c r="B66">
        <v>4</v>
      </c>
      <c r="C66">
        <f t="shared" si="0"/>
        <v>5.333333333333333</v>
      </c>
    </row>
    <row r="67" spans="1:3" x14ac:dyDescent="0.15">
      <c r="A67">
        <v>5</v>
      </c>
      <c r="B67">
        <v>5</v>
      </c>
      <c r="C67">
        <f t="shared" ref="C67:C85" si="3">A67+B67/12</f>
        <v>5.416666666666667</v>
      </c>
    </row>
    <row r="68" spans="1:3" x14ac:dyDescent="0.15">
      <c r="A68">
        <v>5</v>
      </c>
      <c r="B68">
        <v>6</v>
      </c>
      <c r="C68">
        <f t="shared" si="3"/>
        <v>5.5</v>
      </c>
    </row>
    <row r="69" spans="1:3" x14ac:dyDescent="0.15">
      <c r="A69">
        <v>5</v>
      </c>
      <c r="B69">
        <v>7</v>
      </c>
      <c r="C69">
        <f t="shared" si="3"/>
        <v>5.583333333333333</v>
      </c>
    </row>
    <row r="70" spans="1:3" x14ac:dyDescent="0.15">
      <c r="A70">
        <v>5</v>
      </c>
      <c r="B70">
        <v>8</v>
      </c>
      <c r="C70">
        <f t="shared" si="3"/>
        <v>5.666666666666667</v>
      </c>
    </row>
    <row r="71" spans="1:3" x14ac:dyDescent="0.15">
      <c r="A71">
        <v>5</v>
      </c>
      <c r="B71">
        <v>9</v>
      </c>
      <c r="C71">
        <f t="shared" si="3"/>
        <v>5.75</v>
      </c>
    </row>
    <row r="72" spans="1:3" x14ac:dyDescent="0.15">
      <c r="A72">
        <v>5</v>
      </c>
      <c r="B72">
        <v>10</v>
      </c>
      <c r="C72">
        <f t="shared" si="3"/>
        <v>5.833333333333333</v>
      </c>
    </row>
    <row r="73" spans="1:3" x14ac:dyDescent="0.15">
      <c r="A73">
        <v>5</v>
      </c>
      <c r="B73">
        <v>11</v>
      </c>
      <c r="C73">
        <f t="shared" si="3"/>
        <v>5.916666666666667</v>
      </c>
    </row>
    <row r="74" spans="1:3" x14ac:dyDescent="0.15">
      <c r="A74">
        <v>6</v>
      </c>
      <c r="B74">
        <v>0</v>
      </c>
      <c r="C74">
        <f t="shared" si="3"/>
        <v>6</v>
      </c>
    </row>
    <row r="75" spans="1:3" x14ac:dyDescent="0.15">
      <c r="A75">
        <v>6</v>
      </c>
      <c r="B75">
        <v>1</v>
      </c>
      <c r="C75">
        <f t="shared" si="3"/>
        <v>6.083333333333333</v>
      </c>
    </row>
    <row r="76" spans="1:3" x14ac:dyDescent="0.15">
      <c r="A76">
        <v>6</v>
      </c>
      <c r="B76">
        <v>2</v>
      </c>
      <c r="C76">
        <f t="shared" si="3"/>
        <v>6.166666666666667</v>
      </c>
    </row>
    <row r="77" spans="1:3" x14ac:dyDescent="0.15">
      <c r="A77">
        <v>6</v>
      </c>
      <c r="B77">
        <v>3</v>
      </c>
      <c r="C77">
        <f t="shared" si="3"/>
        <v>6.25</v>
      </c>
    </row>
    <row r="78" spans="1:3" x14ac:dyDescent="0.15">
      <c r="A78">
        <v>6</v>
      </c>
      <c r="B78">
        <v>4</v>
      </c>
      <c r="C78">
        <f t="shared" si="3"/>
        <v>6.333333333333333</v>
      </c>
    </row>
    <row r="79" spans="1:3" x14ac:dyDescent="0.15">
      <c r="A79">
        <v>6</v>
      </c>
      <c r="B79">
        <v>5</v>
      </c>
      <c r="C79">
        <f t="shared" si="3"/>
        <v>6.416666666666667</v>
      </c>
    </row>
    <row r="80" spans="1:3" x14ac:dyDescent="0.15">
      <c r="A80">
        <v>6</v>
      </c>
      <c r="B80">
        <v>6</v>
      </c>
      <c r="C80">
        <f t="shared" si="3"/>
        <v>6.5</v>
      </c>
    </row>
    <row r="81" spans="1:3" x14ac:dyDescent="0.15">
      <c r="A81">
        <v>6</v>
      </c>
      <c r="B81">
        <v>7</v>
      </c>
      <c r="C81">
        <f t="shared" si="3"/>
        <v>6.583333333333333</v>
      </c>
    </row>
    <row r="82" spans="1:3" x14ac:dyDescent="0.15">
      <c r="A82">
        <v>6</v>
      </c>
      <c r="B82">
        <v>8</v>
      </c>
      <c r="C82">
        <f t="shared" si="3"/>
        <v>6.666666666666667</v>
      </c>
    </row>
    <row r="83" spans="1:3" x14ac:dyDescent="0.15">
      <c r="A83">
        <v>6</v>
      </c>
      <c r="B83">
        <v>9</v>
      </c>
      <c r="C83">
        <f t="shared" si="3"/>
        <v>6.75</v>
      </c>
    </row>
    <row r="84" spans="1:3" x14ac:dyDescent="0.15">
      <c r="A84">
        <v>6</v>
      </c>
      <c r="B84">
        <v>10</v>
      </c>
      <c r="C84">
        <f t="shared" si="3"/>
        <v>6.833333333333333</v>
      </c>
    </row>
    <row r="85" spans="1:3" x14ac:dyDescent="0.15">
      <c r="A85">
        <v>6</v>
      </c>
      <c r="B85">
        <v>11</v>
      </c>
      <c r="C85">
        <f t="shared" si="3"/>
        <v>6.916666666666667</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zoomScalePageLayoutView="70" workbookViewId="0">
      <selection activeCell="R46" sqref="R46"/>
    </sheetView>
  </sheetViews>
  <sheetFormatPr baseColWidth="12" defaultColWidth="8.83203125" defaultRowHeight="14" x14ac:dyDescent="0.15"/>
  <sheetData/>
  <sheetProtection sheet="1" scenarios="1"/>
  <phoneticPr fontId="1"/>
  <pageMargins left="0.7" right="0.7" top="0.75" bottom="0.75" header="0.3" footer="0.3"/>
  <pageSetup paperSize="0"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zoomScalePageLayoutView="70" workbookViewId="0">
      <selection activeCell="O55" sqref="O55"/>
    </sheetView>
  </sheetViews>
  <sheetFormatPr baseColWidth="12" defaultColWidth="8.83203125" defaultRowHeight="14" x14ac:dyDescent="0.15"/>
  <sheetData/>
  <phoneticPr fontId="1"/>
  <pageMargins left="0.7" right="0.7" top="0.75" bottom="0.75" header="0.3" footer="0.3"/>
  <pageSetup paperSize="0"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1" sqref="L11"/>
    </sheetView>
  </sheetViews>
  <sheetFormatPr baseColWidth="12" defaultColWidth="8.83203125" defaultRowHeight="14" x14ac:dyDescent="0.15"/>
  <sheetData/>
  <sheetProtection sheet="1" scenarios="1"/>
  <phoneticPr fontId="1"/>
  <pageMargins left="0.7" right="0.7" top="0.75" bottom="0.75" header="0.3" footer="0.3"/>
  <pageSetup paperSize="0"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zoomScalePageLayoutView="70" workbookViewId="0">
      <selection activeCell="Q53" sqref="Q53"/>
    </sheetView>
  </sheetViews>
  <sheetFormatPr baseColWidth="12" defaultColWidth="8.83203125" defaultRowHeight="14" x14ac:dyDescent="0.15"/>
  <sheetData/>
  <phoneticPr fontId="1"/>
  <pageMargins left="0.7" right="0.7" top="0.75" bottom="0.75" header="0.3" footer="0.3"/>
  <pageSetup paperSize="0" orientation="portrait" horizontalDpi="4294967292" verticalDpi="429496729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1" sqref="O21"/>
    </sheetView>
  </sheetViews>
  <sheetFormatPr baseColWidth="12" defaultColWidth="8.83203125" defaultRowHeight="14" x14ac:dyDescent="0.15"/>
  <sheetData/>
  <phoneticPr fontId="1"/>
  <pageMargins left="0.7" right="0.7" top="0.75" bottom="0.75" header="0.3" footer="0.3"/>
  <pageSetup paperSize="0" orientation="portrait" horizontalDpi="4294967292" verticalDpi="429496729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35" sqref="T35"/>
    </sheetView>
  </sheetViews>
  <sheetFormatPr baseColWidth="12" defaultColWidth="8.83203125" defaultRowHeight="14" x14ac:dyDescent="0.15"/>
  <sheetData/>
  <phoneticPr fontId="1"/>
  <pageMargins left="0.7" right="0.7" top="0.75" bottom="0.75" header="0.3" footer="0.3"/>
  <pageSetup paperSize="0" orientation="portrait" horizontalDpi="4294967292" verticalDpi="429496729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20"/>
  <sheetViews>
    <sheetView workbookViewId="0">
      <pane xSplit="4" ySplit="3" topLeftCell="E4" activePane="bottomRight" state="frozen"/>
      <selection pane="topRight" activeCell="D1" sqref="D1"/>
      <selection pane="bottomLeft" activeCell="A4" sqref="A4"/>
      <selection pane="bottomRight" activeCell="E25" sqref="E25"/>
    </sheetView>
  </sheetViews>
  <sheetFormatPr baseColWidth="12" defaultColWidth="8.83203125" defaultRowHeight="14" x14ac:dyDescent="0.15"/>
  <cols>
    <col min="1" max="1" width="5.83203125" customWidth="1"/>
    <col min="2" max="3" width="5.33203125" style="2" customWidth="1"/>
    <col min="4" max="5" width="7.6640625" style="3" customWidth="1"/>
    <col min="6" max="22" width="5.1640625" customWidth="1"/>
    <col min="23" max="24" width="4.6640625" customWidth="1"/>
    <col min="25" max="25" width="5.1640625" customWidth="1"/>
    <col min="26" max="26" width="5" customWidth="1"/>
    <col min="27" max="27" width="5.5" customWidth="1"/>
    <col min="28" max="28" width="5.1640625" customWidth="1"/>
    <col min="29" max="29" width="4.1640625" customWidth="1"/>
    <col min="31" max="43" width="5" customWidth="1"/>
  </cols>
  <sheetData>
    <row r="1" spans="1:43" x14ac:dyDescent="0.15">
      <c r="AK1">
        <v>3</v>
      </c>
      <c r="AL1">
        <f>10</f>
        <v>10</v>
      </c>
      <c r="AM1">
        <v>25</v>
      </c>
      <c r="AN1">
        <v>50</v>
      </c>
      <c r="AO1">
        <v>75</v>
      </c>
      <c r="AP1">
        <v>90</v>
      </c>
      <c r="AQ1">
        <v>97</v>
      </c>
    </row>
    <row r="2" spans="1:43" x14ac:dyDescent="0.15">
      <c r="A2" t="s">
        <v>167</v>
      </c>
      <c r="B2" s="2" t="s">
        <v>1</v>
      </c>
      <c r="C2" s="2" t="s">
        <v>151</v>
      </c>
      <c r="F2" t="s">
        <v>164</v>
      </c>
      <c r="G2" t="s">
        <v>160</v>
      </c>
      <c r="H2" s="1" t="s">
        <v>2</v>
      </c>
      <c r="I2" s="1" t="s">
        <v>161</v>
      </c>
      <c r="J2" s="1" t="s">
        <v>162</v>
      </c>
      <c r="K2" s="1" t="s">
        <v>3</v>
      </c>
      <c r="L2" s="1" t="s">
        <v>159</v>
      </c>
      <c r="M2" s="1" t="s">
        <v>163</v>
      </c>
      <c r="N2" s="1"/>
      <c r="O2" t="s">
        <v>9</v>
      </c>
      <c r="P2" t="s">
        <v>160</v>
      </c>
      <c r="Q2" s="1" t="s">
        <v>2</v>
      </c>
      <c r="R2" s="1" t="s">
        <v>161</v>
      </c>
      <c r="S2" s="1" t="s">
        <v>162</v>
      </c>
      <c r="T2" s="1" t="s">
        <v>3</v>
      </c>
      <c r="U2" s="1"/>
      <c r="V2" s="2" t="s">
        <v>167</v>
      </c>
      <c r="W2" t="s">
        <v>166</v>
      </c>
      <c r="Y2" s="1" t="s">
        <v>2</v>
      </c>
      <c r="Z2" s="1" t="s">
        <v>161</v>
      </c>
      <c r="AA2" s="1" t="s">
        <v>162</v>
      </c>
      <c r="AB2" s="1" t="s">
        <v>3</v>
      </c>
      <c r="AC2" t="s">
        <v>169</v>
      </c>
      <c r="AE2" t="s">
        <v>41</v>
      </c>
      <c r="AF2" t="s">
        <v>38</v>
      </c>
      <c r="AG2" t="s">
        <v>42</v>
      </c>
      <c r="AH2" t="s">
        <v>39</v>
      </c>
      <c r="AI2" t="s">
        <v>43</v>
      </c>
      <c r="AJ2" t="s">
        <v>40</v>
      </c>
      <c r="AK2" t="str">
        <f>AK1&amp;"%tile"</f>
        <v>3%tile</v>
      </c>
      <c r="AL2" t="str">
        <f t="shared" ref="AL2:AQ2" si="0">AL1&amp;"%tile"</f>
        <v>10%tile</v>
      </c>
      <c r="AM2" t="str">
        <f t="shared" si="0"/>
        <v>25%tile</v>
      </c>
      <c r="AN2" t="str">
        <f t="shared" si="0"/>
        <v>50%tile</v>
      </c>
      <c r="AO2" t="str">
        <f t="shared" si="0"/>
        <v>75%tile</v>
      </c>
      <c r="AP2" t="str">
        <f t="shared" si="0"/>
        <v>90%tile</v>
      </c>
      <c r="AQ2" t="str">
        <f t="shared" si="0"/>
        <v>97%tile</v>
      </c>
    </row>
    <row r="3" spans="1:43" x14ac:dyDescent="0.15">
      <c r="H3" s="1"/>
      <c r="I3" s="1"/>
      <c r="J3" s="1"/>
      <c r="K3" s="1"/>
      <c r="L3" s="1"/>
      <c r="M3" s="1"/>
      <c r="N3" s="1"/>
      <c r="Q3" s="1"/>
      <c r="R3" s="1"/>
      <c r="S3" s="1"/>
      <c r="T3" s="1"/>
      <c r="U3" s="1"/>
      <c r="V3" s="2"/>
      <c r="Y3" s="1"/>
      <c r="Z3" s="1"/>
      <c r="AA3" s="1"/>
      <c r="AB3" s="1"/>
      <c r="AK3">
        <f>NORMINV(AK$1/100,0,1)</f>
        <v>-1.8807936081512509</v>
      </c>
      <c r="AL3">
        <f t="shared" ref="AL3:AQ3" si="1">NORMINV(AL$1/100,0,1)</f>
        <v>-1.2815515655446006</v>
      </c>
      <c r="AM3">
        <f t="shared" si="1"/>
        <v>-0.67448975019608193</v>
      </c>
      <c r="AN3">
        <f t="shared" si="1"/>
        <v>0</v>
      </c>
      <c r="AO3">
        <f t="shared" si="1"/>
        <v>0.67448975019608193</v>
      </c>
      <c r="AP3">
        <f t="shared" si="1"/>
        <v>1.2815515655446006</v>
      </c>
      <c r="AQ3">
        <f t="shared" si="1"/>
        <v>1.8807936081512504</v>
      </c>
    </row>
    <row r="4" spans="1:43" x14ac:dyDescent="0.15">
      <c r="A4">
        <v>0</v>
      </c>
      <c r="B4" s="2">
        <v>0</v>
      </c>
      <c r="C4" s="2">
        <v>0</v>
      </c>
      <c r="D4" s="3">
        <f>A4+B4/12</f>
        <v>0</v>
      </c>
      <c r="F4">
        <f>IF(入力!$B$2="男",成長曲線_男!E2,成長曲線_女!E2)</f>
        <v>48.4</v>
      </c>
      <c r="G4">
        <f>IF(入力!$B$2="男",成長曲線_男!F2,成長曲線_女!F2)</f>
        <v>2.1</v>
      </c>
      <c r="H4">
        <f>IF(入力!$B$2="男",成長曲線_男!G2,成長曲線_女!G2)</f>
        <v>52.6</v>
      </c>
      <c r="I4">
        <f>IF(入力!$B$2="男",成長曲線_男!H2,成長曲線_女!H2)</f>
        <v>50.5</v>
      </c>
      <c r="J4">
        <f>IF(入力!$B$2="男",成長曲線_男!I2,成長曲線_女!I2)</f>
        <v>46.3</v>
      </c>
      <c r="K4">
        <f>IF(入力!$B$2="男",成長曲線_男!J2,成長曲線_女!J2)</f>
        <v>44.199999999999996</v>
      </c>
      <c r="L4">
        <f>IF(入力!$B$2="男",成長曲線_男!K2,成長曲線_女!K2)</f>
        <v>43.15</v>
      </c>
      <c r="M4">
        <f>IF(入力!$B$2="男",成長曲線_男!L2,成長曲線_女!L2)</f>
        <v>42.099999999999994</v>
      </c>
      <c r="O4">
        <f>IF(入力!$B$2="男",成長曲線_男!N2,成長曲線_女!N2)</f>
        <v>3</v>
      </c>
      <c r="P4">
        <f>IF(入力!$B$2="男",成長曲線_男!O2,成長曲線_女!O2)</f>
        <v>0.4</v>
      </c>
      <c r="Q4">
        <f>IF(入力!$B$2="男",成長曲線_男!P2,成長曲線_女!P2)</f>
        <v>3.8</v>
      </c>
      <c r="R4">
        <f>IF(入力!$B$2="男",成長曲線_男!Q2,成長曲線_女!Q2)</f>
        <v>3.4</v>
      </c>
      <c r="S4">
        <f>IF(入力!$B$2="男",成長曲線_男!R2,成長曲線_女!R2)</f>
        <v>2.6</v>
      </c>
      <c r="T4">
        <f>IF(入力!$B$2="男",成長曲線_男!S2,成長曲線_女!S2)</f>
        <v>2.2000000000000002</v>
      </c>
      <c r="V4">
        <v>0</v>
      </c>
      <c r="W4" s="2"/>
      <c r="AE4">
        <f>IF($D4*12&lt;150,IF($D4*12&lt;IF(入力!$B$2="男",78,69),2,3),4)+IF(入力!$B$2="男",0,4)</f>
        <v>6</v>
      </c>
      <c r="AF4">
        <f t="shared" ref="AF4:AF67" si="2">INDEX(BMI_L,$AE4,3)*($D4*12)^3+INDEX(BMI_L,$AE4,4)*($D4*12)^2+INDEX(BMI_L,$AE4,5)*($D4*12)+INDEX(BMI_L,$AE4,6)</f>
        <v>0.79584630099999998</v>
      </c>
      <c r="AG4">
        <f>IF($D4*12&lt;90,IF($D4*12&lt;26.75,IF($D4*12&lt;9.5,IF($D4*12&lt;2.5,2,3),4),5),6)+IF(入力!$B$2="男",0,6)+IF(AND(入力!$B$2&lt;&gt;"男",$D4*12&gt;=150),1,0)</f>
        <v>8</v>
      </c>
      <c r="AH4">
        <f t="shared" ref="AH4:AH67" si="3">INDEX(BMI_M,$AG4,3)*($D4*12)^3+INDEX(BMI_M,$AG4,4)*($D4*12)^2+INDEX(BMI_M,$AG4,5)*($D4*12)+INDEX(BMI_M,$AG4,6)</f>
        <v>12.568967990000001</v>
      </c>
      <c r="AI4">
        <f>IF(($D4*12)&lt;90,2,3)+IF(入力!$B$2="男",0,3)</f>
        <v>5</v>
      </c>
      <c r="AJ4">
        <f t="shared" ref="AJ4:AJ67" si="4">INDEX(BMI_S,$AI4,3)*($D4*12)^3+INDEX(BMI_S,$AI4,4)*($D4*12)^2+INDEX(BMI_S,$AI4,5)*($D4*12)+INDEX(BMI_S,$AI4,6)</f>
        <v>8.8969350000000003E-2</v>
      </c>
      <c r="AK4">
        <f>$AH4*(1+$AF4*$AJ4*AK$3)^(1/$AF4)</f>
        <v>10.502949429736008</v>
      </c>
      <c r="AL4">
        <f t="shared" ref="AL4:AQ19" si="5">$AH4*(1+$AF4*$AJ4*AL$3)^(1/$AF4)</f>
        <v>11.152939303657259</v>
      </c>
      <c r="AM4">
        <f t="shared" si="5"/>
        <v>11.819393889143003</v>
      </c>
      <c r="AN4">
        <f t="shared" si="5"/>
        <v>12.568967990000001</v>
      </c>
      <c r="AO4">
        <f t="shared" si="5"/>
        <v>13.327784719115732</v>
      </c>
      <c r="AP4">
        <f t="shared" si="5"/>
        <v>14.018385189215902</v>
      </c>
      <c r="AQ4">
        <f t="shared" si="5"/>
        <v>14.706973910474407</v>
      </c>
    </row>
    <row r="5" spans="1:43" x14ac:dyDescent="0.15">
      <c r="A5">
        <v>0</v>
      </c>
      <c r="B5" s="2">
        <v>1</v>
      </c>
      <c r="C5" s="2">
        <v>1</v>
      </c>
      <c r="D5" s="3">
        <f t="shared" ref="D5:D68" si="6">A5+B5/12</f>
        <v>8.3333333333333329E-2</v>
      </c>
      <c r="F5">
        <f>IF(入力!$B$2="男",成長曲線_男!E3,成長曲線_女!E3)</f>
        <v>52.6</v>
      </c>
      <c r="G5">
        <f>IF(入力!$B$2="男",成長曲線_男!F3,成長曲線_女!F3)</f>
        <v>2.1</v>
      </c>
      <c r="H5">
        <f>IF(入力!$B$2="男",成長曲線_男!G3,成長曲線_女!G3)</f>
        <v>56.800000000000004</v>
      </c>
      <c r="I5">
        <f>IF(入力!$B$2="男",成長曲線_男!H3,成長曲線_女!H3)</f>
        <v>54.7</v>
      </c>
      <c r="J5">
        <f>IF(入力!$B$2="男",成長曲線_男!I3,成長曲線_女!I3)</f>
        <v>50.5</v>
      </c>
      <c r="K5">
        <f>IF(入力!$B$2="男",成長曲線_男!J3,成長曲線_女!J3)</f>
        <v>48.4</v>
      </c>
      <c r="L5">
        <f>IF(入力!$B$2="男",成長曲線_男!K3,成長曲線_女!K3)</f>
        <v>47.35</v>
      </c>
      <c r="M5">
        <f>IF(入力!$B$2="男",成長曲線_男!L3,成長曲線_女!L3)</f>
        <v>46.3</v>
      </c>
      <c r="O5">
        <f>IF(入力!$B$2="男",成長曲線_男!N3,成長曲線_女!N3)</f>
        <v>4.0999999999999996</v>
      </c>
      <c r="P5">
        <f>IF(入力!$B$2="男",成長曲線_男!O3,成長曲線_女!O3)</f>
        <v>0.51</v>
      </c>
      <c r="Q5">
        <f>IF(入力!$B$2="男",成長曲線_男!P3,成長曲線_女!P3)</f>
        <v>5.1199999999999992</v>
      </c>
      <c r="R5">
        <f>IF(入力!$B$2="男",成長曲線_男!Q3,成長曲線_女!Q3)</f>
        <v>4.6099999999999994</v>
      </c>
      <c r="S5">
        <f>IF(入力!$B$2="男",成長曲線_男!R3,成長曲線_女!R3)</f>
        <v>3.59</v>
      </c>
      <c r="T5">
        <f>IF(入力!$B$2="男",成長曲線_男!S3,成長曲線_女!S3)</f>
        <v>3.0799999999999996</v>
      </c>
      <c r="V5">
        <v>0.25</v>
      </c>
      <c r="W5" s="2"/>
      <c r="AE5">
        <f>IF($D5*12&lt;150,IF($D5*12&lt;IF(入力!$B$2="男",78,69),2,3),4)+IF(入力!$B$2="男",0,4)</f>
        <v>6</v>
      </c>
      <c r="AF5">
        <f t="shared" si="2"/>
        <v>0.75819137911299994</v>
      </c>
      <c r="AG5">
        <f>IF($D5*12&lt;90,IF($D5*12&lt;26.75,IF($D5*12&lt;9.5,IF($D5*12&lt;2.5,2,3),4),5),6)+IF(入力!$B$2="男",0,6)+IF(AND(入力!$B$2&lt;&gt;"男",$D5*12&gt;=150),1,0)</f>
        <v>8</v>
      </c>
      <c r="AH5">
        <f t="shared" si="3"/>
        <v>14.368175281000001</v>
      </c>
      <c r="AI5">
        <f>IF(($D5*12)&lt;90,2,3)+IF(入力!$B$2="男",0,3)</f>
        <v>5</v>
      </c>
      <c r="AJ5">
        <f t="shared" si="4"/>
        <v>8.8068461920000007E-2</v>
      </c>
      <c r="AK5">
        <f t="shared" ref="AK5:AQ54" si="7">$AH5*(1+$AF5*$AJ5*AK$3)^(1/$AF5)</f>
        <v>12.037348036360042</v>
      </c>
      <c r="AL5">
        <f t="shared" si="5"/>
        <v>12.769096421934666</v>
      </c>
      <c r="AM5">
        <f t="shared" si="5"/>
        <v>13.520880879939627</v>
      </c>
      <c r="AN5">
        <f t="shared" si="5"/>
        <v>14.368175281000001</v>
      </c>
      <c r="AO5">
        <f t="shared" si="5"/>
        <v>15.227731335193301</v>
      </c>
      <c r="AP5">
        <f t="shared" si="5"/>
        <v>16.011542586367742</v>
      </c>
      <c r="AQ5">
        <f t="shared" si="5"/>
        <v>16.794469453572916</v>
      </c>
    </row>
    <row r="6" spans="1:43" x14ac:dyDescent="0.15">
      <c r="A6">
        <v>0</v>
      </c>
      <c r="B6" s="2">
        <v>2</v>
      </c>
      <c r="C6" s="2">
        <v>2</v>
      </c>
      <c r="D6" s="3">
        <f t="shared" si="6"/>
        <v>0.16666666666666666</v>
      </c>
      <c r="F6">
        <f>IF(入力!$B$2="男",成長曲線_男!E4,成長曲線_女!E4)</f>
        <v>56.7</v>
      </c>
      <c r="G6">
        <f>IF(入力!$B$2="男",成長曲線_男!F4,成長曲線_女!F4)</f>
        <v>2.2000000000000002</v>
      </c>
      <c r="H6">
        <f>IF(入力!$B$2="男",成長曲線_男!G4,成長曲線_女!G4)</f>
        <v>61.1</v>
      </c>
      <c r="I6">
        <f>IF(入力!$B$2="男",成長曲線_男!H4,成長曲線_女!H4)</f>
        <v>58.900000000000006</v>
      </c>
      <c r="J6">
        <f>IF(入力!$B$2="男",成長曲線_男!I4,成長曲線_女!I4)</f>
        <v>54.5</v>
      </c>
      <c r="K6">
        <f>IF(入力!$B$2="男",成長曲線_男!J4,成長曲線_女!J4)</f>
        <v>52.300000000000004</v>
      </c>
      <c r="L6">
        <f>IF(入力!$B$2="男",成長曲線_男!K4,成長曲線_女!K4)</f>
        <v>51.2</v>
      </c>
      <c r="M6">
        <f>IF(入力!$B$2="男",成長曲線_男!L4,成長曲線_女!L4)</f>
        <v>50.1</v>
      </c>
      <c r="O6">
        <f>IF(入力!$B$2="男",成長曲線_男!N4,成長曲線_女!N4)</f>
        <v>5.2</v>
      </c>
      <c r="P6">
        <f>IF(入力!$B$2="男",成長曲線_男!O4,成長曲線_女!O4)</f>
        <v>0.6</v>
      </c>
      <c r="Q6">
        <f>IF(入力!$B$2="男",成長曲線_男!P4,成長曲線_女!P4)</f>
        <v>6.4</v>
      </c>
      <c r="R6">
        <f>IF(入力!$B$2="男",成長曲線_男!Q4,成長曲線_女!Q4)</f>
        <v>5.8</v>
      </c>
      <c r="S6">
        <f>IF(入力!$B$2="男",成長曲線_男!R4,成長曲線_女!R4)</f>
        <v>4.6000000000000005</v>
      </c>
      <c r="T6">
        <f>IF(入力!$B$2="男",成長曲線_男!S4,成長曲線_女!S4)</f>
        <v>4</v>
      </c>
      <c r="V6">
        <v>0.5</v>
      </c>
      <c r="W6">
        <f>IF(入力!$B$2="男",成長曲線_男!V4,成長曲線_女!V4)</f>
        <v>25</v>
      </c>
      <c r="AE6">
        <f>IF($D6*12&lt;150,IF($D6*12&lt;IF(入力!$B$2="男",78,69),2,3),4)+IF(入力!$B$2="男",0,4)</f>
        <v>6</v>
      </c>
      <c r="AF6">
        <f t="shared" si="2"/>
        <v>0.72049082790399999</v>
      </c>
      <c r="AG6">
        <f>IF($D6*12&lt;90,IF($D6*12&lt;26.75,IF($D6*12&lt;9.5,IF($D6*12&lt;2.5,2,3),4),5),6)+IF(入力!$B$2="男",0,6)+IF(AND(入力!$B$2&lt;&gt;"男",$D6*12&gt;=150),1,0)</f>
        <v>8</v>
      </c>
      <c r="AH6">
        <f t="shared" si="3"/>
        <v>15.564922468000001</v>
      </c>
      <c r="AI6">
        <f>IF(($D6*12)&lt;90,2,3)+IF(入力!$B$2="男",0,3)</f>
        <v>5</v>
      </c>
      <c r="AJ6">
        <f t="shared" si="4"/>
        <v>8.7213354960000003E-2</v>
      </c>
      <c r="AK6">
        <f t="shared" si="7"/>
        <v>13.071813795736185</v>
      </c>
      <c r="AL6">
        <f t="shared" si="5"/>
        <v>13.852891234509585</v>
      </c>
      <c r="AM6">
        <f t="shared" si="5"/>
        <v>14.656916826654415</v>
      </c>
      <c r="AN6">
        <f t="shared" si="5"/>
        <v>15.564922468000001</v>
      </c>
      <c r="AO6">
        <f t="shared" si="5"/>
        <v>16.48798460474011</v>
      </c>
      <c r="AP6">
        <f t="shared" si="5"/>
        <v>17.331330440459219</v>
      </c>
      <c r="AQ6">
        <f t="shared" si="5"/>
        <v>18.175221518693746</v>
      </c>
    </row>
    <row r="7" spans="1:43" x14ac:dyDescent="0.15">
      <c r="A7">
        <v>0</v>
      </c>
      <c r="B7" s="2">
        <v>3</v>
      </c>
      <c r="C7" s="2">
        <v>3</v>
      </c>
      <c r="D7" s="3">
        <f t="shared" si="6"/>
        <v>0.25</v>
      </c>
      <c r="F7">
        <f>IF(入力!$B$2="男",成長曲線_男!E5,成長曲線_女!E5)</f>
        <v>60</v>
      </c>
      <c r="G7">
        <f>IF(入力!$B$2="男",成長曲線_男!F5,成長曲線_女!F5)</f>
        <v>2.2000000000000002</v>
      </c>
      <c r="H7">
        <f>IF(入力!$B$2="男",成長曲線_男!G5,成長曲線_女!G5)</f>
        <v>64.400000000000006</v>
      </c>
      <c r="I7">
        <f>IF(入力!$B$2="男",成長曲線_男!H5,成長曲線_女!H5)</f>
        <v>62.2</v>
      </c>
      <c r="J7">
        <f>IF(入力!$B$2="男",成長曲線_男!I5,成長曲線_女!I5)</f>
        <v>57.8</v>
      </c>
      <c r="K7">
        <f>IF(入力!$B$2="男",成長曲線_男!J5,成長曲線_女!J5)</f>
        <v>55.6</v>
      </c>
      <c r="L7">
        <f>IF(入力!$B$2="男",成長曲線_男!K5,成長曲線_女!K5)</f>
        <v>54.5</v>
      </c>
      <c r="M7">
        <f>IF(入力!$B$2="男",成長曲線_男!L5,成長曲線_女!L5)</f>
        <v>53.4</v>
      </c>
      <c r="O7">
        <f>IF(入力!$B$2="男",成長曲線_男!N5,成長曲線_女!N5)</f>
        <v>6</v>
      </c>
      <c r="P7">
        <f>IF(入力!$B$2="男",成長曲線_男!O5,成長曲線_女!O5)</f>
        <v>0.66</v>
      </c>
      <c r="Q7">
        <f>IF(入力!$B$2="男",成長曲線_男!P5,成長曲線_女!P5)</f>
        <v>7.32</v>
      </c>
      <c r="R7">
        <f>IF(入力!$B$2="男",成長曲線_男!Q5,成長曲線_女!Q5)</f>
        <v>6.66</v>
      </c>
      <c r="S7">
        <f>IF(入力!$B$2="男",成長曲線_男!R5,成長曲線_女!R5)</f>
        <v>5.34</v>
      </c>
      <c r="T7">
        <f>IF(入力!$B$2="男",成長曲線_男!S5,成長曲線_女!S5)</f>
        <v>4.68</v>
      </c>
      <c r="V7">
        <v>0.75</v>
      </c>
      <c r="W7">
        <f>IF(入力!$B$2="男",成長曲線_男!V5,成長曲線_女!V5)</f>
        <v>17.8</v>
      </c>
      <c r="AE7">
        <f>IF($D7*12&lt;150,IF($D7*12&lt;IF(入力!$B$2="男",78,69),2,3),4)+IF(入力!$B$2="男",0,4)</f>
        <v>6</v>
      </c>
      <c r="AF7">
        <f t="shared" si="2"/>
        <v>0.68274673305099998</v>
      </c>
      <c r="AG7">
        <f>IF($D7*12&lt;90,IF($D7*12&lt;26.75,IF($D7*12&lt;9.5,IF($D7*12&lt;2.5,2,3),4),5),6)+IF(入力!$B$2="男",0,6)+IF(AND(入力!$B$2&lt;&gt;"男",$D7*12&gt;=150),1,0)</f>
        <v>9</v>
      </c>
      <c r="AH7">
        <f t="shared" si="3"/>
        <v>16.292021382999998</v>
      </c>
      <c r="AI7">
        <f>IF(($D7*12)&lt;90,2,3)+IF(入力!$B$2="男",0,3)</f>
        <v>5</v>
      </c>
      <c r="AJ7">
        <f t="shared" si="4"/>
        <v>8.640341604E-2</v>
      </c>
      <c r="AK7">
        <f t="shared" si="7"/>
        <v>13.714115038374347</v>
      </c>
      <c r="AL7">
        <f t="shared" si="5"/>
        <v>14.520126464612327</v>
      </c>
      <c r="AM7">
        <f t="shared" si="5"/>
        <v>15.351392046562669</v>
      </c>
      <c r="AN7">
        <f t="shared" si="5"/>
        <v>16.292021382999998</v>
      </c>
      <c r="AO7">
        <f t="shared" si="5"/>
        <v>17.250207331864303</v>
      </c>
      <c r="AP7">
        <f t="shared" si="5"/>
        <v>18.127315729497056</v>
      </c>
      <c r="AQ7">
        <f t="shared" si="5"/>
        <v>19.006540892865104</v>
      </c>
    </row>
    <row r="8" spans="1:43" x14ac:dyDescent="0.15">
      <c r="A8">
        <v>0</v>
      </c>
      <c r="B8" s="2">
        <v>4</v>
      </c>
      <c r="C8" s="2">
        <v>4</v>
      </c>
      <c r="D8" s="3">
        <f t="shared" si="6"/>
        <v>0.33333333333333331</v>
      </c>
      <c r="F8">
        <f>IF(入力!$B$2="男",成長曲線_男!E6,成長曲線_女!E6)</f>
        <v>62.6</v>
      </c>
      <c r="G8">
        <f>IF(入力!$B$2="男",成長曲線_男!F6,成長曲線_女!F6)</f>
        <v>2.2000000000000002</v>
      </c>
      <c r="H8">
        <f>IF(入力!$B$2="男",成長曲線_男!G6,成長曲線_女!G6)</f>
        <v>67</v>
      </c>
      <c r="I8">
        <f>IF(入力!$B$2="男",成長曲線_男!H6,成長曲線_女!H6)</f>
        <v>64.8</v>
      </c>
      <c r="J8">
        <f>IF(入力!$B$2="男",成長曲線_男!I6,成長曲線_女!I6)</f>
        <v>60.4</v>
      </c>
      <c r="K8">
        <f>IF(入力!$B$2="男",成長曲線_男!J6,成長曲線_女!J6)</f>
        <v>58.2</v>
      </c>
      <c r="L8">
        <f>IF(入力!$B$2="男",成長曲線_男!K6,成長曲線_女!K6)</f>
        <v>57.1</v>
      </c>
      <c r="M8">
        <f>IF(入力!$B$2="男",成長曲線_男!L6,成長曲線_女!L6)</f>
        <v>56</v>
      </c>
      <c r="O8">
        <f>IF(入力!$B$2="男",成長曲線_男!N6,成長曲線_女!N6)</f>
        <v>6.6</v>
      </c>
      <c r="P8">
        <f>IF(入力!$B$2="男",成長曲線_男!O6,成長曲線_女!O6)</f>
        <v>0.75</v>
      </c>
      <c r="Q8">
        <f>IF(入力!$B$2="男",成長曲線_男!P6,成長曲線_女!P6)</f>
        <v>8.1</v>
      </c>
      <c r="R8">
        <f>IF(入力!$B$2="男",成長曲線_男!Q6,成長曲線_女!Q6)</f>
        <v>7.35</v>
      </c>
      <c r="S8">
        <f>IF(入力!$B$2="男",成長曲線_男!R6,成長曲線_女!R6)</f>
        <v>5.85</v>
      </c>
      <c r="T8">
        <f>IF(入力!$B$2="男",成長曲線_男!S6,成長曲線_女!S6)</f>
        <v>5.0999999999999996</v>
      </c>
      <c r="V8">
        <v>1</v>
      </c>
      <c r="W8">
        <f>IF(入力!$B$2="男",成長曲線_男!V6,成長曲線_女!V6)</f>
        <v>13.4</v>
      </c>
      <c r="X8">
        <f>IF(入力!$B$2="男",成長曲線_男!W6,成長曲線_女!W6)</f>
        <v>1.4</v>
      </c>
      <c r="Y8">
        <f>IF(入力!$B$2="男",成長曲線_男!X6,成長曲線_女!X6)</f>
        <v>16.2</v>
      </c>
      <c r="Z8">
        <f>IF(入力!$B$2="男",成長曲線_男!Y6,成長曲線_女!Y6)</f>
        <v>14.8</v>
      </c>
      <c r="AA8">
        <f>IF(入力!$B$2="男",成長曲線_男!Z6,成長曲線_女!Z6)</f>
        <v>12</v>
      </c>
      <c r="AB8">
        <f>IF(入力!$B$2="男",成長曲線_男!AA6,成長曲線_女!AA6)</f>
        <v>10.600000000000001</v>
      </c>
      <c r="AE8">
        <f>IF($D8*12&lt;150,IF($D8*12&lt;IF(入力!$B$2="男",78,69),2,3),4)+IF(入力!$B$2="男",0,4)</f>
        <v>6</v>
      </c>
      <c r="AF8">
        <f t="shared" si="2"/>
        <v>0.644961180232</v>
      </c>
      <c r="AG8">
        <f>IF($D8*12&lt;90,IF($D8*12&lt;26.75,IF($D8*12&lt;9.5,IF($D8*12&lt;2.5,2,3),4),5),6)+IF(入力!$B$2="男",0,6)+IF(AND(入力!$B$2&lt;&gt;"男",$D8*12&gt;=150),1,0)</f>
        <v>9</v>
      </c>
      <c r="AH8">
        <f t="shared" si="3"/>
        <v>16.741591029999999</v>
      </c>
      <c r="AI8">
        <f>IF(($D8*12)&lt;90,2,3)+IF(入力!$B$2="男",0,3)</f>
        <v>5</v>
      </c>
      <c r="AJ8">
        <f t="shared" si="4"/>
        <v>8.5638032080000009E-2</v>
      </c>
      <c r="AK8">
        <f t="shared" si="7"/>
        <v>14.123413860860348</v>
      </c>
      <c r="AL8">
        <f t="shared" si="5"/>
        <v>14.940395766549823</v>
      </c>
      <c r="AM8">
        <f t="shared" si="5"/>
        <v>15.784535556859478</v>
      </c>
      <c r="AN8">
        <f t="shared" si="5"/>
        <v>16.741591029999999</v>
      </c>
      <c r="AO8">
        <f t="shared" si="5"/>
        <v>17.718479547183911</v>
      </c>
      <c r="AP8">
        <f t="shared" si="5"/>
        <v>18.6144000413919</v>
      </c>
      <c r="AQ8">
        <f t="shared" si="5"/>
        <v>19.51406019343451</v>
      </c>
    </row>
    <row r="9" spans="1:43" x14ac:dyDescent="0.15">
      <c r="A9">
        <v>0</v>
      </c>
      <c r="B9" s="2">
        <v>5</v>
      </c>
      <c r="C9" s="2">
        <v>5</v>
      </c>
      <c r="D9" s="3">
        <f t="shared" si="6"/>
        <v>0.41666666666666669</v>
      </c>
      <c r="F9">
        <f>IF(入力!$B$2="男",成長曲線_男!E7,成長曲線_女!E7)</f>
        <v>64.599999999999994</v>
      </c>
      <c r="G9">
        <f>IF(入力!$B$2="男",成長曲線_男!F7,成長曲線_女!F7)</f>
        <v>2.2999999999999998</v>
      </c>
      <c r="H9">
        <f>IF(入力!$B$2="男",成長曲線_男!G7,成長曲線_女!G7)</f>
        <v>69.199999999999989</v>
      </c>
      <c r="I9">
        <f>IF(入力!$B$2="男",成長曲線_男!H7,成長曲線_女!H7)</f>
        <v>66.899999999999991</v>
      </c>
      <c r="J9">
        <f>IF(入力!$B$2="男",成長曲線_男!I7,成長曲線_女!I7)</f>
        <v>62.3</v>
      </c>
      <c r="K9">
        <f>IF(入力!$B$2="男",成長曲線_男!J7,成長曲線_女!J7)</f>
        <v>59.999999999999993</v>
      </c>
      <c r="L9">
        <f>IF(入力!$B$2="男",成長曲線_男!K7,成長曲線_女!K7)</f>
        <v>58.849999999999994</v>
      </c>
      <c r="M9">
        <f>IF(入力!$B$2="男",成長曲線_男!L7,成長曲線_女!L7)</f>
        <v>57.699999999999996</v>
      </c>
      <c r="O9">
        <f>IF(入力!$B$2="男",成長曲線_男!N7,成長曲線_女!N7)</f>
        <v>7</v>
      </c>
      <c r="P9">
        <f>IF(入力!$B$2="男",成長曲線_男!O7,成長曲線_女!O7)</f>
        <v>0.83</v>
      </c>
      <c r="Q9">
        <f>IF(入力!$B$2="男",成長曲線_男!P7,成長曲線_女!P7)</f>
        <v>8.66</v>
      </c>
      <c r="R9">
        <f>IF(入力!$B$2="男",成長曲線_男!Q7,成長曲線_女!Q7)</f>
        <v>7.83</v>
      </c>
      <c r="S9">
        <f>IF(入力!$B$2="男",成長曲線_男!R7,成長曲線_女!R7)</f>
        <v>6.17</v>
      </c>
      <c r="T9">
        <f>IF(入力!$B$2="男",成長曲線_男!S7,成長曲線_女!S7)</f>
        <v>5.34</v>
      </c>
      <c r="V9">
        <v>1.25</v>
      </c>
      <c r="W9">
        <f>IF(入力!$B$2="男",成長曲線_男!V7,成長曲線_女!V7)</f>
        <v>11.6</v>
      </c>
      <c r="X9">
        <f>IF(入力!$B$2="男",成長曲線_男!W7,成長曲線_女!W7)</f>
        <v>1.1000000000000001</v>
      </c>
      <c r="Y9">
        <f>IF(入力!$B$2="男",成長曲線_男!X7,成長曲線_女!X7)</f>
        <v>13.8</v>
      </c>
      <c r="Z9">
        <f>IF(入力!$B$2="男",成長曲線_男!Y7,成長曲線_女!Y7)</f>
        <v>12.7</v>
      </c>
      <c r="AA9">
        <f>IF(入力!$B$2="男",成長曲線_男!Z7,成長曲線_女!Z7)</f>
        <v>10.5</v>
      </c>
      <c r="AB9">
        <f>IF(入力!$B$2="男",成長曲線_男!AA7,成長曲線_女!AA7)</f>
        <v>9.3999999999999986</v>
      </c>
      <c r="AE9">
        <f>IF($D9*12&lt;150,IF($D9*12&lt;IF(入力!$B$2="男",78,69),2,3),4)+IF(入力!$B$2="男",0,4)</f>
        <v>6</v>
      </c>
      <c r="AF9">
        <f t="shared" si="2"/>
        <v>0.60713625512499991</v>
      </c>
      <c r="AG9">
        <f>IF($D9*12&lt;90,IF($D9*12&lt;26.75,IF($D9*12&lt;9.5,IF($D9*12&lt;2.5,2,3),4),5),6)+IF(入力!$B$2="男",0,6)+IF(AND(入力!$B$2&lt;&gt;"男",$D9*12&gt;=150),1,0)</f>
        <v>9</v>
      </c>
      <c r="AH9">
        <f t="shared" si="3"/>
        <v>16.978439415</v>
      </c>
      <c r="AI9">
        <f>IF(($D9*12)&lt;90,2,3)+IF(入力!$B$2="男",0,3)</f>
        <v>5</v>
      </c>
      <c r="AJ9">
        <f t="shared" si="4"/>
        <v>8.491659E-2</v>
      </c>
      <c r="AK9">
        <f t="shared" si="7"/>
        <v>14.352876918085814</v>
      </c>
      <c r="AL9">
        <f t="shared" si="5"/>
        <v>15.170572280631786</v>
      </c>
      <c r="AM9">
        <f t="shared" si="5"/>
        <v>16.016979025121998</v>
      </c>
      <c r="AN9">
        <f t="shared" si="5"/>
        <v>16.978439415</v>
      </c>
      <c r="AO9">
        <f t="shared" si="5"/>
        <v>17.961782279024636</v>
      </c>
      <c r="AP9">
        <f t="shared" si="5"/>
        <v>18.865314810126048</v>
      </c>
      <c r="AQ9">
        <f t="shared" si="5"/>
        <v>19.774205983459691</v>
      </c>
    </row>
    <row r="10" spans="1:43" x14ac:dyDescent="0.15">
      <c r="A10">
        <v>0</v>
      </c>
      <c r="B10" s="2">
        <v>6</v>
      </c>
      <c r="C10" s="2">
        <v>6</v>
      </c>
      <c r="D10" s="3">
        <f t="shared" si="6"/>
        <v>0.5</v>
      </c>
      <c r="F10">
        <f>IF(入力!$B$2="男",成長曲線_男!E8,成長曲線_女!E8)</f>
        <v>66.2</v>
      </c>
      <c r="G10">
        <f>IF(入力!$B$2="男",成長曲線_男!F8,成長曲線_女!F8)</f>
        <v>2.2999999999999998</v>
      </c>
      <c r="H10">
        <f>IF(入力!$B$2="男",成長曲線_男!G8,成長曲線_女!G8)</f>
        <v>70.8</v>
      </c>
      <c r="I10">
        <f>IF(入力!$B$2="男",成長曲線_男!H8,成長曲線_女!H8)</f>
        <v>68.5</v>
      </c>
      <c r="J10">
        <f>IF(入力!$B$2="男",成長曲線_男!I8,成長曲線_女!I8)</f>
        <v>63.900000000000006</v>
      </c>
      <c r="K10">
        <f>IF(入力!$B$2="男",成長曲線_男!J8,成長曲線_女!J8)</f>
        <v>61.6</v>
      </c>
      <c r="L10">
        <f>IF(入力!$B$2="男",成長曲線_男!K8,成長曲線_女!K8)</f>
        <v>60.45</v>
      </c>
      <c r="M10">
        <f>IF(入力!$B$2="男",成長曲線_男!L8,成長曲線_女!L8)</f>
        <v>59.300000000000004</v>
      </c>
      <c r="O10">
        <f>IF(入力!$B$2="男",成長曲線_男!N8,成長曲線_女!N8)</f>
        <v>7.5</v>
      </c>
      <c r="P10">
        <f>IF(入力!$B$2="男",成長曲線_男!O8,成長曲線_女!O8)</f>
        <v>0.79</v>
      </c>
      <c r="Q10">
        <f>IF(入力!$B$2="男",成長曲線_男!P8,成長曲線_女!P8)</f>
        <v>9.08</v>
      </c>
      <c r="R10">
        <f>IF(入力!$B$2="男",成長曲線_男!Q8,成長曲線_女!Q8)</f>
        <v>8.2899999999999991</v>
      </c>
      <c r="S10">
        <f>IF(入力!$B$2="男",成長曲線_男!R8,成長曲線_女!R8)</f>
        <v>6.71</v>
      </c>
      <c r="T10">
        <f>IF(入力!$B$2="男",成長曲線_男!S8,成長曲線_女!S8)</f>
        <v>5.92</v>
      </c>
      <c r="V10">
        <v>1.5</v>
      </c>
      <c r="W10">
        <f>IF(入力!$B$2="男",成長曲線_男!V8,成長曲線_女!V8)</f>
        <v>10.3</v>
      </c>
      <c r="X10">
        <f>IF(入力!$B$2="男",成長曲線_男!W8,成長曲線_女!W8)</f>
        <v>1</v>
      </c>
      <c r="Y10">
        <f>IF(入力!$B$2="男",成長曲線_男!X8,成長曲線_女!X8)</f>
        <v>12.3</v>
      </c>
      <c r="Z10">
        <f>IF(入力!$B$2="男",成長曲線_男!Y8,成長曲線_女!Y8)</f>
        <v>11.3</v>
      </c>
      <c r="AA10">
        <f>IF(入力!$B$2="男",成長曲線_男!Z8,成長曲線_女!Z8)</f>
        <v>9.3000000000000007</v>
      </c>
      <c r="AB10">
        <f>IF(入力!$B$2="男",成長曲線_男!AA8,成長曲線_女!AA8)</f>
        <v>8.3000000000000007</v>
      </c>
      <c r="AE10">
        <f>IF($D10*12&lt;150,IF($D10*12&lt;IF(入力!$B$2="男",78,69),2,3),4)+IF(入力!$B$2="男",0,4)</f>
        <v>6</v>
      </c>
      <c r="AF10">
        <f t="shared" si="2"/>
        <v>0.56927404340799992</v>
      </c>
      <c r="AG10">
        <f>IF($D10*12&lt;90,IF($D10*12&lt;26.75,IF($D10*12&lt;9.5,IF($D10*12&lt;2.5,2,3),4),5),6)+IF(入力!$B$2="男",0,6)+IF(AND(入力!$B$2&lt;&gt;"男",$D10*12&gt;=150),1,0)</f>
        <v>9</v>
      </c>
      <c r="AH10">
        <f t="shared" si="3"/>
        <v>17.046440332</v>
      </c>
      <c r="AI10">
        <f>IF(($D10*12)&lt;90,2,3)+IF(入力!$B$2="男",0,3)</f>
        <v>5</v>
      </c>
      <c r="AJ10">
        <f t="shared" si="4"/>
        <v>8.4238476719999997E-2</v>
      </c>
      <c r="AK10">
        <f t="shared" si="7"/>
        <v>14.438531025082876</v>
      </c>
      <c r="AL10">
        <f t="shared" si="5"/>
        <v>15.249178780100781</v>
      </c>
      <c r="AM10">
        <f t="shared" si="5"/>
        <v>16.089778872563471</v>
      </c>
      <c r="AN10">
        <f t="shared" si="5"/>
        <v>17.046440332</v>
      </c>
      <c r="AO10">
        <f t="shared" si="5"/>
        <v>18.026805588803736</v>
      </c>
      <c r="AP10">
        <f t="shared" si="5"/>
        <v>18.929281301672553</v>
      </c>
      <c r="AQ10">
        <f t="shared" si="5"/>
        <v>19.83869291215095</v>
      </c>
    </row>
    <row r="11" spans="1:43" x14ac:dyDescent="0.15">
      <c r="A11">
        <v>0</v>
      </c>
      <c r="B11" s="2">
        <v>7</v>
      </c>
      <c r="C11" s="2">
        <v>7</v>
      </c>
      <c r="D11" s="3">
        <f t="shared" si="6"/>
        <v>0.58333333333333337</v>
      </c>
      <c r="F11">
        <f>IF(入力!$B$2="男",成長曲線_男!E9,成長曲線_女!E9)</f>
        <v>67.5</v>
      </c>
      <c r="G11">
        <f>IF(入力!$B$2="男",成長曲線_男!F9,成長曲線_女!F9)</f>
        <v>2.2999999999999998</v>
      </c>
      <c r="H11">
        <f>IF(入力!$B$2="男",成長曲線_男!G9,成長曲線_女!G9)</f>
        <v>72.099999999999994</v>
      </c>
      <c r="I11">
        <f>IF(入力!$B$2="男",成長曲線_男!H9,成長曲線_女!H9)</f>
        <v>69.8</v>
      </c>
      <c r="J11">
        <f>IF(入力!$B$2="男",成長曲線_男!I9,成長曲線_女!I9)</f>
        <v>65.2</v>
      </c>
      <c r="K11">
        <f>IF(入力!$B$2="男",成長曲線_男!J9,成長曲線_女!J9)</f>
        <v>62.9</v>
      </c>
      <c r="L11">
        <f>IF(入力!$B$2="男",成長曲線_男!K9,成長曲線_女!K9)</f>
        <v>61.75</v>
      </c>
      <c r="M11">
        <f>IF(入力!$B$2="男",成長曲線_男!L9,成長曲線_女!L9)</f>
        <v>60.6</v>
      </c>
      <c r="O11">
        <f>IF(入力!$B$2="男",成長曲線_男!N9,成長曲線_女!N9)</f>
        <v>7.8</v>
      </c>
      <c r="P11">
        <f>IF(入力!$B$2="男",成長曲線_男!O9,成長曲線_女!O9)</f>
        <v>0.8</v>
      </c>
      <c r="Q11">
        <f>IF(入力!$B$2="男",成長曲線_男!P9,成長曲線_女!P9)</f>
        <v>9.4</v>
      </c>
      <c r="R11">
        <f>IF(入力!$B$2="男",成長曲線_男!Q9,成長曲線_女!Q9)</f>
        <v>8.6</v>
      </c>
      <c r="S11">
        <f>IF(入力!$B$2="男",成長曲線_男!R9,成長曲線_女!R9)</f>
        <v>7</v>
      </c>
      <c r="T11">
        <f>IF(入力!$B$2="男",成長曲線_男!S9,成長曲線_女!S9)</f>
        <v>6.1999999999999993</v>
      </c>
      <c r="V11">
        <v>1.75</v>
      </c>
      <c r="W11">
        <f>IF(入力!$B$2="男",成長曲線_男!V9,成長曲線_女!V9)</f>
        <v>9.4</v>
      </c>
      <c r="X11">
        <f>IF(入力!$B$2="男",成長曲線_男!W9,成長曲線_女!W9)</f>
        <v>0.9</v>
      </c>
      <c r="Y11">
        <f>IF(入力!$B$2="男",成長曲線_男!X9,成長曲線_女!X9)</f>
        <v>11.200000000000001</v>
      </c>
      <c r="Z11">
        <f>IF(入力!$B$2="男",成長曲線_男!Y9,成長曲線_女!Y9)</f>
        <v>10.3</v>
      </c>
      <c r="AA11">
        <f>IF(入力!$B$2="男",成長曲線_男!Z9,成長曲線_女!Z9)</f>
        <v>8.5</v>
      </c>
      <c r="AB11">
        <f>IF(入力!$B$2="男",成長曲線_男!AA9,成長曲線_女!AA9)</f>
        <v>7.6000000000000005</v>
      </c>
      <c r="AE11">
        <f>IF($D11*12&lt;150,IF($D11*12&lt;IF(入力!$B$2="男",78,69),2,3),4)+IF(入力!$B$2="男",0,4)</f>
        <v>6</v>
      </c>
      <c r="AF11">
        <f t="shared" si="2"/>
        <v>0.53137663075899999</v>
      </c>
      <c r="AG11">
        <f>IF($D11*12&lt;90,IF($D11*12&lt;26.75,IF($D11*12&lt;9.5,IF($D11*12&lt;2.5,2,3),4),5),6)+IF(入力!$B$2="男",0,6)+IF(AND(入力!$B$2&lt;&gt;"男",$D11*12&gt;=150),1,0)</f>
        <v>9</v>
      </c>
      <c r="AH11">
        <f t="shared" si="3"/>
        <v>16.989467574999999</v>
      </c>
      <c r="AI11">
        <f>IF(($D11*12)&lt;90,2,3)+IF(入力!$B$2="男",0,3)</f>
        <v>5</v>
      </c>
      <c r="AJ11">
        <f t="shared" si="4"/>
        <v>8.360307916000001E-2</v>
      </c>
      <c r="AK11">
        <f t="shared" si="7"/>
        <v>14.41679682887786</v>
      </c>
      <c r="AL11">
        <f t="shared" si="5"/>
        <v>15.214989241802407</v>
      </c>
      <c r="AM11">
        <f t="shared" si="5"/>
        <v>16.044114523182209</v>
      </c>
      <c r="AN11">
        <f t="shared" si="5"/>
        <v>16.989467574999999</v>
      </c>
      <c r="AO11">
        <f t="shared" si="5"/>
        <v>17.960137103092226</v>
      </c>
      <c r="AP11">
        <f t="shared" si="5"/>
        <v>18.855343747431064</v>
      </c>
      <c r="AQ11">
        <f t="shared" si="5"/>
        <v>19.759001253290808</v>
      </c>
    </row>
    <row r="12" spans="1:43" x14ac:dyDescent="0.15">
      <c r="A12">
        <v>0</v>
      </c>
      <c r="B12" s="2">
        <v>8</v>
      </c>
      <c r="C12" s="2">
        <v>8</v>
      </c>
      <c r="D12" s="3">
        <f t="shared" si="6"/>
        <v>0.66666666666666663</v>
      </c>
      <c r="F12">
        <f>IF(入力!$B$2="男",成長曲線_男!E10,成長曲線_女!E10)</f>
        <v>68.900000000000006</v>
      </c>
      <c r="G12">
        <f>IF(入力!$B$2="男",成長曲線_男!F10,成長曲線_女!F10)</f>
        <v>2.4</v>
      </c>
      <c r="H12">
        <f>IF(入力!$B$2="男",成長曲線_男!G10,成長曲線_女!G10)</f>
        <v>73.7</v>
      </c>
      <c r="I12">
        <f>IF(入力!$B$2="男",成長曲線_男!H10,成長曲線_女!H10)</f>
        <v>71.300000000000011</v>
      </c>
      <c r="J12">
        <f>IF(入力!$B$2="男",成長曲線_男!I10,成長曲線_女!I10)</f>
        <v>66.5</v>
      </c>
      <c r="K12">
        <f>IF(入力!$B$2="男",成長曲線_男!J10,成長曲線_女!J10)</f>
        <v>64.100000000000009</v>
      </c>
      <c r="L12">
        <f>IF(入力!$B$2="男",成長曲線_男!K10,成長曲線_女!K10)</f>
        <v>62.900000000000006</v>
      </c>
      <c r="M12">
        <f>IF(入力!$B$2="男",成長曲線_男!L10,成長曲線_女!L10)</f>
        <v>61.7</v>
      </c>
      <c r="O12">
        <f>IF(入力!$B$2="男",成長曲線_男!N10,成長曲線_女!N10)</f>
        <v>8</v>
      </c>
      <c r="P12">
        <f>IF(入力!$B$2="男",成長曲線_男!O10,成長曲線_女!O10)</f>
        <v>0.88</v>
      </c>
      <c r="Q12">
        <f>IF(入力!$B$2="男",成長曲線_男!P10,成長曲線_女!P10)</f>
        <v>9.76</v>
      </c>
      <c r="R12">
        <f>IF(入力!$B$2="男",成長曲線_男!Q10,成長曲線_女!Q10)</f>
        <v>8.8800000000000008</v>
      </c>
      <c r="S12">
        <f>IF(入力!$B$2="男",成長曲線_男!R10,成長曲線_女!R10)</f>
        <v>7.12</v>
      </c>
      <c r="T12">
        <f>IF(入力!$B$2="男",成長曲線_男!S10,成長曲線_女!S10)</f>
        <v>6.24</v>
      </c>
      <c r="V12">
        <v>2</v>
      </c>
      <c r="W12">
        <f>IF(入力!$B$2="男",成長曲線_男!V10,成長曲線_女!V10)</f>
        <v>8.8000000000000007</v>
      </c>
      <c r="X12">
        <f>IF(入力!$B$2="男",成長曲線_男!W10,成長曲線_女!W10)</f>
        <v>0.8</v>
      </c>
      <c r="Y12">
        <f>IF(入力!$B$2="男",成長曲線_男!X10,成長曲線_女!X10)</f>
        <v>10.4</v>
      </c>
      <c r="Z12">
        <f>IF(入力!$B$2="男",成長曲線_男!Y10,成長曲線_女!Y10)</f>
        <v>9.6000000000000014</v>
      </c>
      <c r="AA12">
        <f>IF(入力!$B$2="男",成長曲線_男!Z10,成長曲線_女!Z10)</f>
        <v>8</v>
      </c>
      <c r="AB12">
        <f>IF(入力!$B$2="男",成長曲線_男!AA10,成長曲線_女!AA10)</f>
        <v>7.2000000000000011</v>
      </c>
      <c r="AE12">
        <f>IF($D12*12&lt;150,IF($D12*12&lt;IF(入力!$B$2="男",78,69),2,3),4)+IF(入力!$B$2="男",0,4)</f>
        <v>6</v>
      </c>
      <c r="AF12">
        <f t="shared" si="2"/>
        <v>0.49344610285599994</v>
      </c>
      <c r="AG12">
        <f>IF($D12*12&lt;90,IF($D12*12&lt;26.75,IF($D12*12&lt;9.5,IF($D12*12&lt;2.5,2,3),4),5),6)+IF(入力!$B$2="男",0,6)+IF(AND(入力!$B$2&lt;&gt;"男",$D12*12&gt;=150),1,0)</f>
        <v>9</v>
      </c>
      <c r="AH12">
        <f t="shared" si="3"/>
        <v>16.851394937999999</v>
      </c>
      <c r="AI12">
        <f>IF(($D12*12)&lt;90,2,3)+IF(入力!$B$2="男",0,3)</f>
        <v>5</v>
      </c>
      <c r="AJ12">
        <f t="shared" si="4"/>
        <v>8.3009784240000009E-2</v>
      </c>
      <c r="AK12">
        <f t="shared" si="7"/>
        <v>14.324444138472083</v>
      </c>
      <c r="AL12">
        <f t="shared" si="5"/>
        <v>15.107000257457422</v>
      </c>
      <c r="AM12">
        <f t="shared" si="5"/>
        <v>15.921274229904078</v>
      </c>
      <c r="AN12">
        <f t="shared" si="5"/>
        <v>16.851394937999999</v>
      </c>
      <c r="AO12">
        <f t="shared" si="5"/>
        <v>17.808274658591429</v>
      </c>
      <c r="AP12">
        <f t="shared" si="5"/>
        <v>18.692392410628706</v>
      </c>
      <c r="AQ12">
        <f t="shared" si="5"/>
        <v>19.586409672493048</v>
      </c>
    </row>
    <row r="13" spans="1:43" x14ac:dyDescent="0.15">
      <c r="A13">
        <v>0</v>
      </c>
      <c r="B13" s="2">
        <v>9</v>
      </c>
      <c r="C13" s="2">
        <v>9</v>
      </c>
      <c r="D13" s="3">
        <f t="shared" si="6"/>
        <v>0.75</v>
      </c>
      <c r="F13">
        <f>IF(入力!$B$2="男",成長曲線_男!E11,成長曲線_女!E11)</f>
        <v>70</v>
      </c>
      <c r="G13">
        <f>IF(入力!$B$2="男",成長曲線_男!F11,成長曲線_女!F11)</f>
        <v>2.4</v>
      </c>
      <c r="H13">
        <f>IF(入力!$B$2="男",成長曲線_男!G11,成長曲線_女!G11)</f>
        <v>74.8</v>
      </c>
      <c r="I13">
        <f>IF(入力!$B$2="男",成長曲線_男!H11,成長曲線_女!H11)</f>
        <v>72.400000000000006</v>
      </c>
      <c r="J13">
        <f>IF(入力!$B$2="男",成長曲線_男!I11,成長曲線_女!I11)</f>
        <v>67.599999999999994</v>
      </c>
      <c r="K13">
        <f>IF(入力!$B$2="男",成長曲線_男!J11,成長曲線_女!J11)</f>
        <v>65.2</v>
      </c>
      <c r="L13">
        <f>IF(入力!$B$2="男",成長曲線_男!K11,成長曲線_女!K11)</f>
        <v>64</v>
      </c>
      <c r="M13">
        <f>IF(入力!$B$2="男",成長曲線_男!L11,成長曲線_女!L11)</f>
        <v>62.8</v>
      </c>
      <c r="O13">
        <f>IF(入力!$B$2="男",成長曲線_男!N11,成長曲線_女!N11)</f>
        <v>8.1999999999999993</v>
      </c>
      <c r="P13">
        <f>IF(入力!$B$2="男",成長曲線_男!O11,成長曲線_女!O11)</f>
        <v>0.9</v>
      </c>
      <c r="Q13">
        <f>IF(入力!$B$2="男",成長曲線_男!P11,成長曲線_女!P11)</f>
        <v>10</v>
      </c>
      <c r="R13">
        <f>IF(入力!$B$2="男",成長曲線_男!Q11,成長曲線_女!Q11)</f>
        <v>9.1</v>
      </c>
      <c r="S13">
        <f>IF(入力!$B$2="男",成長曲線_男!R11,成長曲線_女!R11)</f>
        <v>7.2999999999999989</v>
      </c>
      <c r="T13">
        <f>IF(入力!$B$2="男",成長曲線_男!S11,成長曲線_女!S11)</f>
        <v>6.3999999999999995</v>
      </c>
      <c r="V13">
        <v>2.25</v>
      </c>
      <c r="W13">
        <f>IF(入力!$B$2="男",成長曲線_男!V11,成長曲線_女!V11)</f>
        <v>8.4</v>
      </c>
      <c r="X13">
        <f>IF(入力!$B$2="男",成長曲線_男!W11,成長曲線_女!W11)</f>
        <v>0.8</v>
      </c>
      <c r="Y13">
        <f>IF(入力!$B$2="男",成長曲線_男!X11,成長曲線_女!X11)</f>
        <v>10</v>
      </c>
      <c r="Z13">
        <f>IF(入力!$B$2="男",成長曲線_男!Y11,成長曲線_女!Y11)</f>
        <v>9.2000000000000011</v>
      </c>
      <c r="AA13">
        <f>IF(入力!$B$2="男",成長曲線_男!Z11,成長曲線_女!Z11)</f>
        <v>7.6000000000000005</v>
      </c>
      <c r="AB13">
        <f>IF(入力!$B$2="男",成長曲線_男!AA11,成長曲線_女!AA11)</f>
        <v>6.8000000000000007</v>
      </c>
      <c r="AE13">
        <f>IF($D13*12&lt;150,IF($D13*12&lt;IF(入力!$B$2="男",78,69),2,3),4)+IF(入力!$B$2="男",0,4)</f>
        <v>6</v>
      </c>
      <c r="AF13">
        <f t="shared" si="2"/>
        <v>0.45548454537700001</v>
      </c>
      <c r="AG13">
        <f>IF($D13*12&lt;90,IF($D13*12&lt;26.75,IF($D13*12&lt;9.5,IF($D13*12&lt;2.5,2,3),4),5),6)+IF(入力!$B$2="男",0,6)+IF(AND(入力!$B$2&lt;&gt;"男",$D13*12&gt;=150),1,0)</f>
        <v>9</v>
      </c>
      <c r="AH13">
        <f t="shared" si="3"/>
        <v>16.676096215000001</v>
      </c>
      <c r="AI13">
        <f>IF(($D13*12)&lt;90,2,3)+IF(入力!$B$2="男",0,3)</f>
        <v>5</v>
      </c>
      <c r="AJ13">
        <f t="shared" si="4"/>
        <v>8.2457978880000005E-2</v>
      </c>
      <c r="AK13">
        <f t="shared" si="7"/>
        <v>14.19854980961165</v>
      </c>
      <c r="AL13">
        <f t="shared" si="5"/>
        <v>14.964403811302768</v>
      </c>
      <c r="AM13">
        <f t="shared" si="5"/>
        <v>15.762641441170123</v>
      </c>
      <c r="AN13">
        <f t="shared" si="5"/>
        <v>16.676096215000001</v>
      </c>
      <c r="AO13">
        <f t="shared" si="5"/>
        <v>17.617638743936592</v>
      </c>
      <c r="AP13">
        <f t="shared" si="5"/>
        <v>18.489186517157865</v>
      </c>
      <c r="AQ13">
        <f t="shared" si="5"/>
        <v>19.372028135772364</v>
      </c>
    </row>
    <row r="14" spans="1:43" x14ac:dyDescent="0.15">
      <c r="A14">
        <v>0</v>
      </c>
      <c r="B14" s="2">
        <v>10</v>
      </c>
      <c r="C14" s="2">
        <v>10</v>
      </c>
      <c r="D14" s="3">
        <f t="shared" si="6"/>
        <v>0.83333333333333337</v>
      </c>
      <c r="F14">
        <f>IF(入力!$B$2="男",成長曲線_男!E12,成長曲線_女!E12)</f>
        <v>71.2</v>
      </c>
      <c r="G14">
        <f>IF(入力!$B$2="男",成長曲線_男!F12,成長曲線_女!F12)</f>
        <v>2.4</v>
      </c>
      <c r="H14">
        <f>IF(入力!$B$2="男",成長曲線_男!G12,成長曲線_女!G12)</f>
        <v>76</v>
      </c>
      <c r="I14">
        <f>IF(入力!$B$2="男",成長曲線_男!H12,成長曲線_女!H12)</f>
        <v>73.600000000000009</v>
      </c>
      <c r="J14">
        <f>IF(入力!$B$2="男",成長曲線_男!I12,成長曲線_女!I12)</f>
        <v>68.8</v>
      </c>
      <c r="K14">
        <f>IF(入力!$B$2="男",成長曲線_男!J12,成長曲線_女!J12)</f>
        <v>66.400000000000006</v>
      </c>
      <c r="L14">
        <f>IF(入力!$B$2="男",成長曲線_男!K12,成長曲線_女!K12)</f>
        <v>65.2</v>
      </c>
      <c r="M14">
        <f>IF(入力!$B$2="男",成長曲線_男!L12,成長曲線_女!L12)</f>
        <v>64</v>
      </c>
      <c r="O14">
        <f>IF(入力!$B$2="男",成長曲線_男!N12,成長曲線_女!N12)</f>
        <v>8.5</v>
      </c>
      <c r="P14">
        <f>IF(入力!$B$2="男",成長曲線_男!O12,成長曲線_女!O12)</f>
        <v>0.87</v>
      </c>
      <c r="Q14">
        <f>IF(入力!$B$2="男",成長曲線_男!P12,成長曲線_女!P12)</f>
        <v>10.24</v>
      </c>
      <c r="R14">
        <f>IF(入力!$B$2="男",成長曲線_男!Q12,成長曲線_女!Q12)</f>
        <v>9.3699999999999992</v>
      </c>
      <c r="S14">
        <f>IF(入力!$B$2="男",成長曲線_男!R12,成長曲線_女!R12)</f>
        <v>7.63</v>
      </c>
      <c r="T14">
        <f>IF(入力!$B$2="男",成長曲線_男!S12,成長曲線_女!S12)</f>
        <v>6.76</v>
      </c>
      <c r="V14">
        <v>2.5</v>
      </c>
      <c r="W14">
        <f>IF(入力!$B$2="男",成長曲線_男!V12,成長曲線_女!V12)</f>
        <v>8</v>
      </c>
      <c r="X14">
        <f>IF(入力!$B$2="男",成長曲線_男!W12,成長曲線_女!W12)</f>
        <v>0.8</v>
      </c>
      <c r="Y14">
        <f>IF(入力!$B$2="男",成長曲線_男!X12,成長曲線_女!X12)</f>
        <v>9.6</v>
      </c>
      <c r="Z14">
        <f>IF(入力!$B$2="男",成長曲線_男!Y12,成長曲線_女!Y12)</f>
        <v>8.8000000000000007</v>
      </c>
      <c r="AA14">
        <f>IF(入力!$B$2="男",成長曲線_男!Z12,成長曲線_女!Z12)</f>
        <v>7.2</v>
      </c>
      <c r="AB14">
        <f>IF(入力!$B$2="男",成長曲線_男!AA12,成長曲線_女!AA12)</f>
        <v>6.4</v>
      </c>
      <c r="AE14">
        <f>IF($D14*12&lt;150,IF($D14*12&lt;IF(入力!$B$2="男",78,69),2,3),4)+IF(入力!$B$2="男",0,4)</f>
        <v>6</v>
      </c>
      <c r="AF14">
        <f t="shared" si="2"/>
        <v>0.41749404399999995</v>
      </c>
      <c r="AG14">
        <f>IF($D14*12&lt;90,IF($D14*12&lt;26.75,IF($D14*12&lt;9.5,IF($D14*12&lt;2.5,2,3),4),5),6)+IF(入力!$B$2="男",0,6)+IF(AND(入力!$B$2&lt;&gt;"男",$D14*12&gt;=150),1,0)</f>
        <v>10</v>
      </c>
      <c r="AH14">
        <f t="shared" si="3"/>
        <v>16.505116520000001</v>
      </c>
      <c r="AI14">
        <f>IF(($D14*12)&lt;90,2,3)+IF(入力!$B$2="男",0,3)</f>
        <v>5</v>
      </c>
      <c r="AJ14">
        <f t="shared" si="4"/>
        <v>8.1947050000000007E-2</v>
      </c>
      <c r="AK14">
        <f t="shared" si="7"/>
        <v>14.074472280512731</v>
      </c>
      <c r="AL14">
        <f t="shared" si="5"/>
        <v>14.824469800667465</v>
      </c>
      <c r="AM14">
        <f t="shared" si="5"/>
        <v>15.607479659345982</v>
      </c>
      <c r="AN14">
        <f t="shared" si="5"/>
        <v>16.505116520000001</v>
      </c>
      <c r="AO14">
        <f t="shared" si="5"/>
        <v>17.432125258609567</v>
      </c>
      <c r="AP14">
        <f t="shared" si="5"/>
        <v>18.291796263837476</v>
      </c>
      <c r="AQ14">
        <f t="shared" si="5"/>
        <v>19.164127079502048</v>
      </c>
    </row>
    <row r="15" spans="1:43" x14ac:dyDescent="0.15">
      <c r="A15">
        <v>0</v>
      </c>
      <c r="B15" s="2">
        <v>11</v>
      </c>
      <c r="C15" s="2">
        <v>11</v>
      </c>
      <c r="D15" s="3">
        <f t="shared" si="6"/>
        <v>0.91666666666666663</v>
      </c>
      <c r="F15">
        <f>IF(入力!$B$2="男",成長曲線_男!E13,成長曲線_女!E13)</f>
        <v>72.3</v>
      </c>
      <c r="G15">
        <f>IF(入力!$B$2="男",成長曲線_男!F13,成長曲線_女!F13)</f>
        <v>2.5</v>
      </c>
      <c r="H15">
        <f>IF(入力!$B$2="男",成長曲線_男!G13,成長曲線_女!G13)</f>
        <v>77.3</v>
      </c>
      <c r="I15">
        <f>IF(入力!$B$2="男",成長曲線_男!H13,成長曲線_女!H13)</f>
        <v>74.8</v>
      </c>
      <c r="J15">
        <f>IF(入力!$B$2="男",成長曲線_男!I13,成長曲線_女!I13)</f>
        <v>69.8</v>
      </c>
      <c r="K15">
        <f>IF(入力!$B$2="男",成長曲線_男!J13,成長曲線_女!J13)</f>
        <v>67.3</v>
      </c>
      <c r="L15">
        <f>IF(入力!$B$2="男",成長曲線_男!K13,成長曲線_女!K13)</f>
        <v>66.05</v>
      </c>
      <c r="M15">
        <f>IF(入力!$B$2="男",成長曲線_男!L13,成長曲線_女!L13)</f>
        <v>64.8</v>
      </c>
      <c r="O15">
        <f>IF(入力!$B$2="男",成長曲線_男!N13,成長曲線_女!N13)</f>
        <v>8.6</v>
      </c>
      <c r="P15">
        <f>IF(入力!$B$2="男",成長曲線_男!O13,成長曲線_女!O13)</f>
        <v>0.91</v>
      </c>
      <c r="Q15">
        <f>IF(入力!$B$2="男",成長曲線_男!P13,成長曲線_女!P13)</f>
        <v>10.42</v>
      </c>
      <c r="R15">
        <f>IF(入力!$B$2="男",成長曲線_男!Q13,成長曲線_女!Q13)</f>
        <v>9.51</v>
      </c>
      <c r="S15">
        <f>IF(入力!$B$2="男",成長曲線_男!R13,成長曲線_女!R13)</f>
        <v>7.6899999999999995</v>
      </c>
      <c r="T15">
        <f>IF(入力!$B$2="男",成長曲線_男!S13,成長曲線_女!S13)</f>
        <v>6.7799999999999994</v>
      </c>
      <c r="V15">
        <v>2.75</v>
      </c>
      <c r="W15">
        <f>IF(入力!$B$2="男",成長曲線_男!V13,成長曲線_女!V13)</f>
        <v>7.7</v>
      </c>
      <c r="X15">
        <f>IF(入力!$B$2="男",成長曲線_男!W13,成長曲線_女!W13)</f>
        <v>0.8</v>
      </c>
      <c r="Y15">
        <f>IF(入力!$B$2="男",成長曲線_男!X13,成長曲線_女!X13)</f>
        <v>9.3000000000000007</v>
      </c>
      <c r="Z15">
        <f>IF(入力!$B$2="男",成長曲線_男!Y13,成長曲線_女!Y13)</f>
        <v>8.5</v>
      </c>
      <c r="AA15">
        <f>IF(入力!$B$2="男",成長曲線_男!Z13,成長曲線_女!Z13)</f>
        <v>6.9</v>
      </c>
      <c r="AB15">
        <f>IF(入力!$B$2="男",成長曲線_男!AA13,成長曲線_女!AA13)</f>
        <v>6.1</v>
      </c>
      <c r="AE15">
        <f>IF($D15*12&lt;150,IF($D15*12&lt;IF(入力!$B$2="男",78,69),2,3),4)+IF(入力!$B$2="男",0,4)</f>
        <v>6</v>
      </c>
      <c r="AF15">
        <f t="shared" si="2"/>
        <v>0.37947668440299992</v>
      </c>
      <c r="AG15">
        <f>IF($D15*12&lt;90,IF($D15*12&lt;26.75,IF($D15*12&lt;9.5,IF($D15*12&lt;2.5,2,3),4),5),6)+IF(入力!$B$2="男",0,6)+IF(AND(入力!$B$2&lt;&gt;"男",$D15*12&gt;=150),1,0)</f>
        <v>10</v>
      </c>
      <c r="AH15">
        <f t="shared" si="3"/>
        <v>16.351799928000002</v>
      </c>
      <c r="AI15">
        <f>IF(($D15*12)&lt;90,2,3)+IF(入力!$B$2="男",0,3)</f>
        <v>5</v>
      </c>
      <c r="AJ15">
        <f t="shared" si="4"/>
        <v>8.147638452E-2</v>
      </c>
      <c r="AK15">
        <f t="shared" si="7"/>
        <v>13.963706048249062</v>
      </c>
      <c r="AL15">
        <f t="shared" si="5"/>
        <v>14.699254823068802</v>
      </c>
      <c r="AM15">
        <f t="shared" si="5"/>
        <v>15.468440936977069</v>
      </c>
      <c r="AN15">
        <f t="shared" si="5"/>
        <v>16.351799928000002</v>
      </c>
      <c r="AO15">
        <f t="shared" si="5"/>
        <v>17.265802126995116</v>
      </c>
      <c r="AP15">
        <f t="shared" si="5"/>
        <v>18.114968220756399</v>
      </c>
      <c r="AQ15">
        <f t="shared" si="5"/>
        <v>18.97814828910942</v>
      </c>
    </row>
    <row r="16" spans="1:43" x14ac:dyDescent="0.15">
      <c r="A16">
        <v>1</v>
      </c>
      <c r="B16" s="2">
        <v>0</v>
      </c>
      <c r="C16" s="2">
        <v>12</v>
      </c>
      <c r="D16" s="3">
        <f t="shared" si="6"/>
        <v>1</v>
      </c>
      <c r="F16">
        <f>IF(入力!$B$2="男",成長曲線_男!E14,成長曲線_女!E14)</f>
        <v>73.400000000000006</v>
      </c>
      <c r="G16">
        <f>IF(入力!$B$2="男",成長曲線_男!F14,成長曲線_女!F14)</f>
        <v>2.5</v>
      </c>
      <c r="H16">
        <f>IF(入力!$B$2="男",成長曲線_男!G14,成長曲線_女!G14)</f>
        <v>78.400000000000006</v>
      </c>
      <c r="I16">
        <f>IF(入力!$B$2="男",成長曲線_男!H14,成長曲線_女!H14)</f>
        <v>75.900000000000006</v>
      </c>
      <c r="J16">
        <f>IF(入力!$B$2="男",成長曲線_男!I14,成長曲線_女!I14)</f>
        <v>70.900000000000006</v>
      </c>
      <c r="K16">
        <f>IF(入力!$B$2="男",成長曲線_男!J14,成長曲線_女!J14)</f>
        <v>68.400000000000006</v>
      </c>
      <c r="L16">
        <f>IF(入力!$B$2="男",成長曲線_男!K14,成長曲線_女!K14)</f>
        <v>67.150000000000006</v>
      </c>
      <c r="M16">
        <f>IF(入力!$B$2="男",成長曲線_男!L14,成長曲線_女!L14)</f>
        <v>65.900000000000006</v>
      </c>
      <c r="O16">
        <f>IF(入力!$B$2="男",成長曲線_男!N14,成長曲線_女!N14)</f>
        <v>8.6999999999999993</v>
      </c>
      <c r="P16">
        <f>IF(入力!$B$2="男",成長曲線_男!O14,成長曲線_女!O14)</f>
        <v>0.96</v>
      </c>
      <c r="Q16">
        <f>IF(入力!$B$2="男",成長曲線_男!P14,成長曲線_女!P14)</f>
        <v>10.62</v>
      </c>
      <c r="R16">
        <f>IF(入力!$B$2="男",成長曲線_男!Q14,成長曲線_女!Q14)</f>
        <v>9.66</v>
      </c>
      <c r="S16">
        <f>IF(入力!$B$2="男",成長曲線_男!R14,成長曲線_女!R14)</f>
        <v>7.7399999999999993</v>
      </c>
      <c r="T16">
        <f>IF(入力!$B$2="男",成長曲線_男!S14,成長曲線_女!S14)</f>
        <v>6.7799999999999994</v>
      </c>
      <c r="V16">
        <v>3</v>
      </c>
      <c r="W16">
        <f>IF(入力!$B$2="男",成長曲線_男!V14,成長曲線_女!V14)</f>
        <v>7.4</v>
      </c>
      <c r="X16">
        <f>IF(入力!$B$2="男",成長曲線_男!W14,成長曲線_女!W14)</f>
        <v>0.8</v>
      </c>
      <c r="Y16">
        <f>IF(入力!$B$2="男",成長曲線_男!X14,成長曲線_女!X14)</f>
        <v>9</v>
      </c>
      <c r="Z16">
        <f>IF(入力!$B$2="男",成長曲線_男!Y14,成長曲線_女!Y14)</f>
        <v>8.2000000000000011</v>
      </c>
      <c r="AA16">
        <f>IF(入力!$B$2="男",成長曲線_男!Z14,成長曲線_女!Z14)</f>
        <v>6.6000000000000005</v>
      </c>
      <c r="AB16">
        <f>IF(入力!$B$2="男",成長曲線_男!AA14,成長曲線_女!AA14)</f>
        <v>5.8000000000000007</v>
      </c>
      <c r="AE16">
        <f>IF($D16*12&lt;150,IF($D16*12&lt;IF(入力!$B$2="男",78,69),2,3),4)+IF(入力!$B$2="男",0,4)</f>
        <v>6</v>
      </c>
      <c r="AF16">
        <f t="shared" si="2"/>
        <v>0.34143455226399994</v>
      </c>
      <c r="AG16">
        <f>IF($D16*12&lt;90,IF($D16*12&lt;26.75,IF($D16*12&lt;9.5,IF($D16*12&lt;2.5,2,3),4),5),6)+IF(入力!$B$2="男",0,6)+IF(AND(入力!$B$2&lt;&gt;"男",$D16*12&gt;=150),1,0)</f>
        <v>10</v>
      </c>
      <c r="AH16">
        <f t="shared" si="3"/>
        <v>16.214766256000001</v>
      </c>
      <c r="AI16">
        <f>IF(($D16*12)&lt;90,2,3)+IF(入力!$B$2="男",0,3)</f>
        <v>5</v>
      </c>
      <c r="AJ16">
        <f t="shared" si="4"/>
        <v>8.1045369360000008E-2</v>
      </c>
      <c r="AK16">
        <f t="shared" si="7"/>
        <v>13.865211038729111</v>
      </c>
      <c r="AL16">
        <f t="shared" si="5"/>
        <v>14.587604001745401</v>
      </c>
      <c r="AM16">
        <f t="shared" si="5"/>
        <v>15.344260285241722</v>
      </c>
      <c r="AN16">
        <f t="shared" si="5"/>
        <v>16.214766256000001</v>
      </c>
      <c r="AO16">
        <f t="shared" si="5"/>
        <v>17.117181427097083</v>
      </c>
      <c r="AP16">
        <f t="shared" si="5"/>
        <v>17.957123928814383</v>
      </c>
      <c r="AQ16">
        <f t="shared" si="5"/>
        <v>18.812430087685584</v>
      </c>
    </row>
    <row r="17" spans="1:43" x14ac:dyDescent="0.15">
      <c r="A17">
        <v>1</v>
      </c>
      <c r="B17" s="2">
        <v>1</v>
      </c>
      <c r="C17" s="2">
        <v>13</v>
      </c>
      <c r="D17" s="3">
        <f t="shared" si="6"/>
        <v>1.0833333333333333</v>
      </c>
      <c r="F17">
        <f>IF(入力!$B$2="男",成長曲線_男!E15,成長曲線_女!E15)</f>
        <v>74.5</v>
      </c>
      <c r="G17">
        <f>IF(入力!$B$2="男",成長曲線_男!F15,成長曲線_女!F15)</f>
        <v>2.5</v>
      </c>
      <c r="H17">
        <f>IF(入力!$B$2="男",成長曲線_男!G15,成長曲線_女!G15)</f>
        <v>79.5</v>
      </c>
      <c r="I17">
        <f>IF(入力!$B$2="男",成長曲線_男!H15,成長曲線_女!H15)</f>
        <v>77</v>
      </c>
      <c r="J17">
        <f>IF(入力!$B$2="男",成長曲線_男!I15,成長曲線_女!I15)</f>
        <v>72</v>
      </c>
      <c r="K17">
        <f>IF(入力!$B$2="男",成長曲線_男!J15,成長曲線_女!J15)</f>
        <v>69.5</v>
      </c>
      <c r="L17">
        <f>IF(入力!$B$2="男",成長曲線_男!K15,成長曲線_女!K15)</f>
        <v>68.25</v>
      </c>
      <c r="M17">
        <f>IF(入力!$B$2="男",成長曲線_男!L15,成長曲線_女!L15)</f>
        <v>67</v>
      </c>
      <c r="O17">
        <f>IF(入力!$B$2="男",成長曲線_男!N15,成長曲線_女!N15)</f>
        <v>9</v>
      </c>
      <c r="P17">
        <f>IF(入力!$B$2="男",成長曲線_男!O15,成長曲線_女!O15)</f>
        <v>0.9</v>
      </c>
      <c r="Q17">
        <f>IF(入力!$B$2="男",成長曲線_男!P15,成長曲線_女!P15)</f>
        <v>10.8</v>
      </c>
      <c r="R17">
        <f>IF(入力!$B$2="男",成長曲線_男!Q15,成長曲線_女!Q15)</f>
        <v>9.9</v>
      </c>
      <c r="S17">
        <f>IF(入力!$B$2="男",成長曲線_男!R15,成長曲線_女!R15)</f>
        <v>8.1</v>
      </c>
      <c r="T17">
        <f>IF(入力!$B$2="男",成長曲線_男!S15,成長曲線_女!S15)</f>
        <v>7.2</v>
      </c>
      <c r="V17">
        <v>3.25</v>
      </c>
      <c r="W17">
        <f>IF(入力!$B$2="男",成長曲線_男!V15,成長曲線_女!V15)</f>
        <v>7.2</v>
      </c>
      <c r="X17">
        <f>IF(入力!$B$2="男",成長曲線_男!W15,成長曲線_女!W15)</f>
        <v>0.8</v>
      </c>
      <c r="Y17">
        <f>IF(入力!$B$2="男",成長曲線_男!X15,成長曲線_女!X15)</f>
        <v>8.8000000000000007</v>
      </c>
      <c r="Z17">
        <f>IF(入力!$B$2="男",成長曲線_男!Y15,成長曲線_女!Y15)</f>
        <v>8</v>
      </c>
      <c r="AA17">
        <f>IF(入力!$B$2="男",成長曲線_男!Z15,成長曲線_女!Z15)</f>
        <v>6.4</v>
      </c>
      <c r="AB17">
        <f>IF(入力!$B$2="男",成長曲線_男!AA15,成長曲線_女!AA15)</f>
        <v>5.6</v>
      </c>
      <c r="AE17">
        <f>IF($D17*12&lt;150,IF($D17*12&lt;IF(入力!$B$2="男",78,69),2,3),4)+IF(入力!$B$2="男",0,4)</f>
        <v>6</v>
      </c>
      <c r="AF17">
        <f t="shared" si="2"/>
        <v>0.30336973326099997</v>
      </c>
      <c r="AG17">
        <f>IF($D17*12&lt;90,IF($D17*12&lt;26.75,IF($D17*12&lt;9.5,IF($D17*12&lt;2.5,2,3),4),5),6)+IF(入力!$B$2="男",0,6)+IF(AND(入力!$B$2&lt;&gt;"男",$D17*12&gt;=150),1,0)</f>
        <v>10</v>
      </c>
      <c r="AH17">
        <f t="shared" si="3"/>
        <v>16.093004474000001</v>
      </c>
      <c r="AI17">
        <f>IF(($D17*12)&lt;90,2,3)+IF(入力!$B$2="男",0,3)</f>
        <v>5</v>
      </c>
      <c r="AJ17">
        <f t="shared" si="4"/>
        <v>8.065339144E-2</v>
      </c>
      <c r="AK17">
        <f t="shared" si="7"/>
        <v>13.778246588514953</v>
      </c>
      <c r="AL17">
        <f t="shared" si="5"/>
        <v>14.488684409668171</v>
      </c>
      <c r="AM17">
        <f t="shared" si="5"/>
        <v>15.234017155132275</v>
      </c>
      <c r="AN17">
        <f t="shared" si="5"/>
        <v>16.093004474000001</v>
      </c>
      <c r="AO17">
        <f t="shared" si="5"/>
        <v>16.9851689549414</v>
      </c>
      <c r="AP17">
        <f t="shared" si="5"/>
        <v>17.817100751723341</v>
      </c>
      <c r="AQ17">
        <f t="shared" si="5"/>
        <v>18.665748550531788</v>
      </c>
    </row>
    <row r="18" spans="1:43" x14ac:dyDescent="0.15">
      <c r="A18">
        <v>1</v>
      </c>
      <c r="B18" s="2">
        <v>2</v>
      </c>
      <c r="C18" s="2">
        <v>14</v>
      </c>
      <c r="D18" s="3">
        <f t="shared" si="6"/>
        <v>1.1666666666666667</v>
      </c>
      <c r="F18">
        <f>IF(入力!$B$2="男",成長曲線_男!E16,成長曲線_女!E16)</f>
        <v>75.5</v>
      </c>
      <c r="G18">
        <f>IF(入力!$B$2="男",成長曲線_男!F16,成長曲線_女!F16)</f>
        <v>2.6</v>
      </c>
      <c r="H18">
        <f>IF(入力!$B$2="男",成長曲線_男!G16,成長曲線_女!G16)</f>
        <v>80.7</v>
      </c>
      <c r="I18">
        <f>IF(入力!$B$2="男",成長曲線_男!H16,成長曲線_女!H16)</f>
        <v>78.099999999999994</v>
      </c>
      <c r="J18">
        <f>IF(入力!$B$2="男",成長曲線_男!I16,成長曲線_女!I16)</f>
        <v>72.900000000000006</v>
      </c>
      <c r="K18">
        <f>IF(入力!$B$2="男",成長曲線_男!J16,成長曲線_女!J16)</f>
        <v>70.3</v>
      </c>
      <c r="L18">
        <f>IF(入力!$B$2="男",成長曲線_男!K16,成長曲線_女!K16)</f>
        <v>69</v>
      </c>
      <c r="M18">
        <f>IF(入力!$B$2="男",成長曲線_男!L16,成長曲線_女!L16)</f>
        <v>67.7</v>
      </c>
      <c r="O18">
        <f>IF(入力!$B$2="男",成長曲線_男!N16,成長曲線_女!N16)</f>
        <v>9.1999999999999993</v>
      </c>
      <c r="P18">
        <f>IF(入力!$B$2="男",成長曲線_男!O16,成長曲線_女!O16)</f>
        <v>0.94</v>
      </c>
      <c r="Q18">
        <f>IF(入力!$B$2="男",成長曲線_男!P16,成長曲線_女!P16)</f>
        <v>11.079999999999998</v>
      </c>
      <c r="R18">
        <f>IF(入力!$B$2="男",成長曲線_男!Q16,成長曲線_女!Q16)</f>
        <v>10.139999999999999</v>
      </c>
      <c r="S18">
        <f>IF(入力!$B$2="男",成長曲線_男!R16,成長曲線_女!R16)</f>
        <v>8.26</v>
      </c>
      <c r="T18">
        <f>IF(入力!$B$2="男",成長曲線_男!S16,成長曲線_女!S16)</f>
        <v>7.3199999999999994</v>
      </c>
      <c r="V18">
        <v>3.5</v>
      </c>
      <c r="W18">
        <f>IF(入力!$B$2="男",成長曲線_男!V16,成長曲線_女!V16)</f>
        <v>7.1</v>
      </c>
      <c r="X18">
        <f>IF(入力!$B$2="男",成長曲線_男!W16,成長曲線_女!W16)</f>
        <v>0.8</v>
      </c>
      <c r="Y18">
        <f>IF(入力!$B$2="男",成長曲線_男!X16,成長曲線_女!X16)</f>
        <v>8.6999999999999993</v>
      </c>
      <c r="Z18">
        <f>IF(入力!$B$2="男",成長曲線_男!Y16,成長曲線_女!Y16)</f>
        <v>7.8999999999999995</v>
      </c>
      <c r="AA18">
        <f>IF(入力!$B$2="男",成長曲線_男!Z16,成長曲線_女!Z16)</f>
        <v>6.3</v>
      </c>
      <c r="AB18">
        <f>IF(入力!$B$2="男",成長曲線_男!AA16,成長曲線_女!AA16)</f>
        <v>5.5</v>
      </c>
      <c r="AE18">
        <f>IF($D18*12&lt;150,IF($D18*12&lt;IF(入力!$B$2="男",78,69),2,3),4)+IF(入力!$B$2="男",0,4)</f>
        <v>6</v>
      </c>
      <c r="AF18">
        <f t="shared" si="2"/>
        <v>0.26528431307199984</v>
      </c>
      <c r="AG18">
        <f>IF($D18*12&lt;90,IF($D18*12&lt;26.75,IF($D18*12&lt;9.5,IF($D18*12&lt;2.5,2,3),4),5),6)+IF(入力!$B$2="男",0,6)+IF(AND(入力!$B$2&lt;&gt;"男",$D18*12&gt;=150),1,0)</f>
        <v>10</v>
      </c>
      <c r="AH18">
        <f t="shared" si="3"/>
        <v>15.985503552000001</v>
      </c>
      <c r="AI18">
        <f>IF(($D18*12)&lt;90,2,3)+IF(入力!$B$2="男",0,3)</f>
        <v>5</v>
      </c>
      <c r="AJ18">
        <f t="shared" si="4"/>
        <v>8.029983768E-2</v>
      </c>
      <c r="AK18">
        <f t="shared" si="7"/>
        <v>13.702058406085611</v>
      </c>
      <c r="AL18">
        <f t="shared" si="5"/>
        <v>14.401654586751318</v>
      </c>
      <c r="AM18">
        <f t="shared" si="5"/>
        <v>15.136786875945132</v>
      </c>
      <c r="AN18">
        <f t="shared" si="5"/>
        <v>15.985503552000001</v>
      </c>
      <c r="AO18">
        <f t="shared" si="5"/>
        <v>16.86867392675325</v>
      </c>
      <c r="AP18">
        <f t="shared" si="5"/>
        <v>17.693742059112353</v>
      </c>
      <c r="AQ18">
        <f t="shared" si="5"/>
        <v>18.536887957401074</v>
      </c>
    </row>
    <row r="19" spans="1:43" x14ac:dyDescent="0.15">
      <c r="A19">
        <v>1</v>
      </c>
      <c r="B19" s="2">
        <v>3</v>
      </c>
      <c r="C19" s="2">
        <v>15</v>
      </c>
      <c r="D19" s="3">
        <f t="shared" si="6"/>
        <v>1.25</v>
      </c>
      <c r="F19">
        <f>IF(入力!$B$2="男",成長曲線_男!E17,成長曲線_女!E17)</f>
        <v>76.5</v>
      </c>
      <c r="G19">
        <f>IF(入力!$B$2="男",成長曲線_男!F17,成長曲線_女!F17)</f>
        <v>2.6</v>
      </c>
      <c r="H19">
        <f>IF(入力!$B$2="男",成長曲線_男!G17,成長曲線_女!G17)</f>
        <v>81.7</v>
      </c>
      <c r="I19">
        <f>IF(入力!$B$2="男",成長曲線_男!H17,成長曲線_女!H17)</f>
        <v>79.099999999999994</v>
      </c>
      <c r="J19">
        <f>IF(入力!$B$2="男",成長曲線_男!I17,成長曲線_女!I17)</f>
        <v>73.900000000000006</v>
      </c>
      <c r="K19">
        <f>IF(入力!$B$2="男",成長曲線_男!J17,成長曲線_女!J17)</f>
        <v>71.3</v>
      </c>
      <c r="L19">
        <f>IF(入力!$B$2="男",成長曲線_男!K17,成長曲線_女!K17)</f>
        <v>70</v>
      </c>
      <c r="M19">
        <f>IF(入力!$B$2="男",成長曲線_男!L17,成長曲線_女!L17)</f>
        <v>68.7</v>
      </c>
      <c r="O19">
        <f>IF(入力!$B$2="男",成長曲線_男!N17,成長曲線_女!N17)</f>
        <v>9.3000000000000007</v>
      </c>
      <c r="P19">
        <f>IF(入力!$B$2="男",成長曲線_男!O17,成長曲線_女!O17)</f>
        <v>0.96</v>
      </c>
      <c r="Q19">
        <f>IF(入力!$B$2="男",成長曲線_男!P17,成長曲線_女!P17)</f>
        <v>11.22</v>
      </c>
      <c r="R19">
        <f>IF(入力!$B$2="男",成長曲線_男!Q17,成長曲線_女!Q17)</f>
        <v>10.260000000000002</v>
      </c>
      <c r="S19">
        <f>IF(入力!$B$2="男",成長曲線_男!R17,成長曲線_女!R17)</f>
        <v>8.34</v>
      </c>
      <c r="T19">
        <f>IF(入力!$B$2="男",成長曲線_男!S17,成長曲線_女!S17)</f>
        <v>7.3800000000000008</v>
      </c>
      <c r="V19">
        <v>3.75</v>
      </c>
      <c r="W19">
        <f>IF(入力!$B$2="男",成長曲線_男!V17,成長曲線_女!V17)</f>
        <v>7</v>
      </c>
      <c r="X19">
        <f>IF(入力!$B$2="男",成長曲線_男!W17,成長曲線_女!W17)</f>
        <v>0.7</v>
      </c>
      <c r="Y19">
        <f>IF(入力!$B$2="男",成長曲線_男!X17,成長曲線_女!X17)</f>
        <v>8.4</v>
      </c>
      <c r="Z19">
        <f>IF(入力!$B$2="男",成長曲線_男!Y17,成長曲線_女!Y17)</f>
        <v>7.7</v>
      </c>
      <c r="AA19">
        <f>IF(入力!$B$2="男",成長曲線_男!Z17,成長曲線_女!Z17)</f>
        <v>6.3</v>
      </c>
      <c r="AB19">
        <f>IF(入力!$B$2="男",成長曲線_男!AA17,成長曲線_女!AA17)</f>
        <v>5.6</v>
      </c>
      <c r="AE19">
        <f>IF($D19*12&lt;150,IF($D19*12&lt;IF(入力!$B$2="男",78,69),2,3),4)+IF(入力!$B$2="男",0,4)</f>
        <v>6</v>
      </c>
      <c r="AF19">
        <f t="shared" si="2"/>
        <v>0.22718037737499985</v>
      </c>
      <c r="AG19">
        <f>IF($D19*12&lt;90,IF($D19*12&lt;26.75,IF($D19*12&lt;9.5,IF($D19*12&lt;2.5,2,3),4),5),6)+IF(入力!$B$2="男",0,6)+IF(AND(入力!$B$2&lt;&gt;"男",$D19*12&gt;=150),1,0)</f>
        <v>10</v>
      </c>
      <c r="AH19">
        <f t="shared" si="3"/>
        <v>15.89125246</v>
      </c>
      <c r="AI19">
        <f>IF(($D19*12)&lt;90,2,3)+IF(入力!$B$2="男",0,3)</f>
        <v>5</v>
      </c>
      <c r="AJ19">
        <f t="shared" si="4"/>
        <v>7.9984095000000005E-2</v>
      </c>
      <c r="AK19">
        <f t="shared" si="7"/>
        <v>13.635879771606957</v>
      </c>
      <c r="AL19">
        <f t="shared" si="5"/>
        <v>14.325665283301131</v>
      </c>
      <c r="AM19">
        <f t="shared" si="5"/>
        <v>15.051641012575649</v>
      </c>
      <c r="AN19">
        <f t="shared" si="5"/>
        <v>15.89125246</v>
      </c>
      <c r="AO19">
        <f t="shared" si="5"/>
        <v>16.766608680935494</v>
      </c>
      <c r="AP19">
        <f t="shared" si="5"/>
        <v>17.585896700366309</v>
      </c>
      <c r="AQ19">
        <f t="shared" si="5"/>
        <v>18.424640072185642</v>
      </c>
    </row>
    <row r="20" spans="1:43" x14ac:dyDescent="0.15">
      <c r="A20">
        <v>1</v>
      </c>
      <c r="B20" s="2">
        <v>4</v>
      </c>
      <c r="C20" s="2">
        <v>16</v>
      </c>
      <c r="D20" s="3">
        <f t="shared" si="6"/>
        <v>1.3333333333333333</v>
      </c>
      <c r="F20">
        <f>IF(入力!$B$2="男",成長曲線_男!E18,成長曲線_女!E18)</f>
        <v>77.5</v>
      </c>
      <c r="G20">
        <f>IF(入力!$B$2="男",成長曲線_男!F18,成長曲線_女!F18)</f>
        <v>2.6</v>
      </c>
      <c r="H20">
        <f>IF(入力!$B$2="男",成長曲線_男!G18,成長曲線_女!G18)</f>
        <v>82.7</v>
      </c>
      <c r="I20">
        <f>IF(入力!$B$2="男",成長曲線_男!H18,成長曲線_女!H18)</f>
        <v>80.099999999999994</v>
      </c>
      <c r="J20">
        <f>IF(入力!$B$2="男",成長曲線_男!I18,成長曲線_女!I18)</f>
        <v>74.900000000000006</v>
      </c>
      <c r="K20">
        <f>IF(入力!$B$2="男",成長曲線_男!J18,成長曲線_女!J18)</f>
        <v>72.3</v>
      </c>
      <c r="L20">
        <f>IF(入力!$B$2="男",成長曲線_男!K18,成長曲線_女!K18)</f>
        <v>71</v>
      </c>
      <c r="M20">
        <f>IF(入力!$B$2="男",成長曲線_男!L18,成長曲線_女!L18)</f>
        <v>69.7</v>
      </c>
      <c r="O20">
        <f>IF(入力!$B$2="男",成長曲線_男!N18,成長曲線_女!N18)</f>
        <v>9.5</v>
      </c>
      <c r="P20">
        <f>IF(入力!$B$2="男",成長曲線_男!O18,成長曲線_女!O18)</f>
        <v>0.93</v>
      </c>
      <c r="Q20">
        <f>IF(入力!$B$2="男",成長曲線_男!P18,成長曲線_女!P18)</f>
        <v>11.36</v>
      </c>
      <c r="R20">
        <f>IF(入力!$B$2="男",成長曲線_男!Q18,成長曲線_女!Q18)</f>
        <v>10.43</v>
      </c>
      <c r="S20">
        <f>IF(入力!$B$2="男",成長曲線_男!R18,成長曲線_女!R18)</f>
        <v>8.57</v>
      </c>
      <c r="T20">
        <f>IF(入力!$B$2="男",成長曲線_男!S18,成長曲線_女!S18)</f>
        <v>7.64</v>
      </c>
      <c r="V20">
        <v>4</v>
      </c>
      <c r="W20">
        <f>IF(入力!$B$2="男",成長曲線_男!V18,成長曲線_女!V18)</f>
        <v>6.9</v>
      </c>
      <c r="X20">
        <f>IF(入力!$B$2="男",成長曲線_男!W18,成長曲線_女!W18)</f>
        <v>0.7</v>
      </c>
      <c r="Y20">
        <f>IF(入力!$B$2="男",成長曲線_男!X18,成長曲線_女!X18)</f>
        <v>8.3000000000000007</v>
      </c>
      <c r="Z20">
        <f>IF(入力!$B$2="男",成長曲線_男!Y18,成長曲線_女!Y18)</f>
        <v>7.6000000000000005</v>
      </c>
      <c r="AA20">
        <f>IF(入力!$B$2="男",成長曲線_男!Z18,成長曲線_女!Z18)</f>
        <v>6.2</v>
      </c>
      <c r="AB20">
        <f>IF(入力!$B$2="男",成長曲線_男!AA18,成長曲線_女!AA18)</f>
        <v>5.5</v>
      </c>
      <c r="AE20">
        <f>IF($D20*12&lt;150,IF($D20*12&lt;IF(入力!$B$2="男",78,69),2,3),4)+IF(入力!$B$2="男",0,4)</f>
        <v>6</v>
      </c>
      <c r="AF20">
        <f t="shared" si="2"/>
        <v>0.18906001184799992</v>
      </c>
      <c r="AG20">
        <f>IF($D20*12&lt;90,IF($D20*12&lt;26.75,IF($D20*12&lt;9.5,IF($D20*12&lt;2.5,2,3),4),5),6)+IF(入力!$B$2="男",0,6)+IF(AND(入力!$B$2&lt;&gt;"男",$D20*12&gt;=150),1,0)</f>
        <v>10</v>
      </c>
      <c r="AH20">
        <f t="shared" si="3"/>
        <v>15.809240168000002</v>
      </c>
      <c r="AI20">
        <f>IF(($D20*12)&lt;90,2,3)+IF(入力!$B$2="男",0,3)</f>
        <v>5</v>
      </c>
      <c r="AJ20">
        <f t="shared" si="4"/>
        <v>7.9705550319999999E-2</v>
      </c>
      <c r="AK20">
        <f t="shared" si="7"/>
        <v>13.578932671115924</v>
      </c>
      <c r="AL20">
        <f t="shared" si="7"/>
        <v>14.259860169502069</v>
      </c>
      <c r="AM20">
        <f t="shared" si="7"/>
        <v>14.977647709826176</v>
      </c>
      <c r="AN20">
        <f t="shared" si="7"/>
        <v>15.809240168000002</v>
      </c>
      <c r="AO20">
        <f t="shared" si="7"/>
        <v>16.677888384475651</v>
      </c>
      <c r="AP20">
        <f t="shared" si="7"/>
        <v>17.492418481089366</v>
      </c>
      <c r="AQ20">
        <f t="shared" si="7"/>
        <v>18.327803419199086</v>
      </c>
    </row>
    <row r="21" spans="1:43" x14ac:dyDescent="0.15">
      <c r="A21">
        <v>1</v>
      </c>
      <c r="B21" s="2">
        <v>5</v>
      </c>
      <c r="C21" s="2">
        <v>17</v>
      </c>
      <c r="D21" s="3">
        <f t="shared" si="6"/>
        <v>1.4166666666666667</v>
      </c>
      <c r="F21">
        <f>IF(入力!$B$2="男",成長曲線_男!E19,成長曲線_女!E19)</f>
        <v>78.400000000000006</v>
      </c>
      <c r="G21">
        <f>IF(入力!$B$2="男",成長曲線_男!F19,成長曲線_女!F19)</f>
        <v>2.7</v>
      </c>
      <c r="H21">
        <f>IF(入力!$B$2="男",成長曲線_男!G19,成長曲線_女!G19)</f>
        <v>83.800000000000011</v>
      </c>
      <c r="I21">
        <f>IF(入力!$B$2="男",成長曲線_男!H19,成長曲線_女!H19)</f>
        <v>81.100000000000009</v>
      </c>
      <c r="J21">
        <f>IF(入力!$B$2="男",成長曲線_男!I19,成長曲線_女!I19)</f>
        <v>75.7</v>
      </c>
      <c r="K21">
        <f>IF(入力!$B$2="男",成長曲線_男!J19,成長曲線_女!J19)</f>
        <v>73</v>
      </c>
      <c r="L21">
        <f>IF(入力!$B$2="男",成長曲線_男!K19,成長曲線_女!K19)</f>
        <v>71.650000000000006</v>
      </c>
      <c r="M21">
        <f>IF(入力!$B$2="男",成長曲線_男!L19,成長曲線_女!L19)</f>
        <v>70.300000000000011</v>
      </c>
      <c r="O21">
        <f>IF(入力!$B$2="男",成長曲線_男!N19,成長曲線_女!N19)</f>
        <v>9.6999999999999993</v>
      </c>
      <c r="P21">
        <f>IF(入力!$B$2="男",成長曲線_男!O19,成長曲線_女!O19)</f>
        <v>0.99</v>
      </c>
      <c r="Q21">
        <f>IF(入力!$B$2="男",成長曲線_男!P19,成長曲線_女!P19)</f>
        <v>11.68</v>
      </c>
      <c r="R21">
        <f>IF(入力!$B$2="男",成長曲線_男!Q19,成長曲線_女!Q19)</f>
        <v>10.69</v>
      </c>
      <c r="S21">
        <f>IF(入力!$B$2="男",成長曲線_男!R19,成長曲線_女!R19)</f>
        <v>8.7099999999999991</v>
      </c>
      <c r="T21">
        <f>IF(入力!$B$2="男",成長曲線_男!S19,成長曲線_女!S19)</f>
        <v>7.7199999999999989</v>
      </c>
      <c r="V21">
        <v>4.25</v>
      </c>
      <c r="W21">
        <f>IF(入力!$B$2="男",成長曲線_男!V19,成長曲線_女!V19)</f>
        <v>6.8</v>
      </c>
      <c r="X21">
        <f>IF(入力!$B$2="男",成長曲線_男!W19,成長曲線_女!W19)</f>
        <v>0.7</v>
      </c>
      <c r="Y21">
        <f>IF(入力!$B$2="男",成長曲線_男!X19,成長曲線_女!X19)</f>
        <v>8.1999999999999993</v>
      </c>
      <c r="Z21">
        <f>IF(入力!$B$2="男",成長曲線_男!Y19,成長曲線_女!Y19)</f>
        <v>7.5</v>
      </c>
      <c r="AA21">
        <f>IF(入力!$B$2="男",成長曲線_男!Z19,成長曲線_女!Z19)</f>
        <v>6.1</v>
      </c>
      <c r="AB21">
        <f>IF(入力!$B$2="男",成長曲線_男!AA19,成長曲線_女!AA19)</f>
        <v>5.4</v>
      </c>
      <c r="AE21">
        <f>IF($D21*12&lt;150,IF($D21*12&lt;IF(入力!$B$2="男",78,69),2,3),4)+IF(入力!$B$2="男",0,4)</f>
        <v>6</v>
      </c>
      <c r="AF21">
        <f t="shared" si="2"/>
        <v>0.15092530216899991</v>
      </c>
      <c r="AG21">
        <f>IF($D21*12&lt;90,IF($D21*12&lt;26.75,IF($D21*12&lt;9.5,IF($D21*12&lt;2.5,2,3),4),5),6)+IF(入力!$B$2="男",0,6)+IF(AND(入力!$B$2&lt;&gt;"男",$D21*12&gt;=150),1,0)</f>
        <v>10</v>
      </c>
      <c r="AH21">
        <f t="shared" si="3"/>
        <v>15.738455646000002</v>
      </c>
      <c r="AI21">
        <f>IF(($D21*12)&lt;90,2,3)+IF(入力!$B$2="男",0,3)</f>
        <v>5</v>
      </c>
      <c r="AJ21">
        <f t="shared" si="4"/>
        <v>7.9463590560000005E-2</v>
      </c>
      <c r="AK21">
        <f t="shared" si="7"/>
        <v>13.530428868955337</v>
      </c>
      <c r="AL21">
        <f t="shared" si="7"/>
        <v>14.203376512421592</v>
      </c>
      <c r="AM21">
        <f t="shared" si="7"/>
        <v>14.913872024064798</v>
      </c>
      <c r="AN21">
        <f t="shared" si="7"/>
        <v>15.738455646000002</v>
      </c>
      <c r="AO21">
        <f t="shared" si="7"/>
        <v>16.601430743988939</v>
      </c>
      <c r="AP21">
        <f t="shared" si="7"/>
        <v>17.412165642776003</v>
      </c>
      <c r="AQ21">
        <f t="shared" si="7"/>
        <v>18.245182557001311</v>
      </c>
    </row>
    <row r="22" spans="1:43" x14ac:dyDescent="0.15">
      <c r="A22">
        <v>1</v>
      </c>
      <c r="B22" s="2">
        <v>6</v>
      </c>
      <c r="C22" s="2">
        <v>18</v>
      </c>
      <c r="D22" s="3">
        <f t="shared" si="6"/>
        <v>1.5</v>
      </c>
      <c r="F22">
        <f>IF(入力!$B$2="男",成長曲線_男!E20,成長曲線_女!E20)</f>
        <v>79.400000000000006</v>
      </c>
      <c r="G22">
        <f>IF(入力!$B$2="男",成長曲線_男!F20,成長曲線_女!F20)</f>
        <v>2.7</v>
      </c>
      <c r="H22">
        <f>IF(入力!$B$2="男",成長曲線_男!G20,成長曲線_女!G20)</f>
        <v>84.800000000000011</v>
      </c>
      <c r="I22">
        <f>IF(入力!$B$2="男",成長曲線_男!H20,成長曲線_女!H20)</f>
        <v>82.100000000000009</v>
      </c>
      <c r="J22">
        <f>IF(入力!$B$2="男",成長曲線_男!I20,成長曲線_女!I20)</f>
        <v>76.7</v>
      </c>
      <c r="K22">
        <f>IF(入力!$B$2="男",成長曲線_男!J20,成長曲線_女!J20)</f>
        <v>74</v>
      </c>
      <c r="L22">
        <f>IF(入力!$B$2="男",成長曲線_男!K20,成長曲線_女!K20)</f>
        <v>72.650000000000006</v>
      </c>
      <c r="M22">
        <f>IF(入力!$B$2="男",成長曲線_男!L20,成長曲線_女!L20)</f>
        <v>71.300000000000011</v>
      </c>
      <c r="O22">
        <f>IF(入力!$B$2="男",成長曲線_男!N20,成長曲線_女!N20)</f>
        <v>9.9</v>
      </c>
      <c r="P22">
        <f>IF(入力!$B$2="男",成長曲線_男!O20,成長曲線_女!O20)</f>
        <v>1.03</v>
      </c>
      <c r="Q22">
        <f>IF(入力!$B$2="男",成長曲線_男!P20,成長曲線_女!P20)</f>
        <v>11.96</v>
      </c>
      <c r="R22">
        <f>IF(入力!$B$2="男",成長曲線_男!Q20,成長曲線_女!Q20)</f>
        <v>10.93</v>
      </c>
      <c r="S22">
        <f>IF(入力!$B$2="男",成長曲線_男!R20,成長曲線_女!R20)</f>
        <v>8.870000000000001</v>
      </c>
      <c r="T22">
        <f>IF(入力!$B$2="男",成長曲線_男!S20,成長曲線_女!S20)</f>
        <v>7.84</v>
      </c>
      <c r="V22">
        <v>4.5</v>
      </c>
      <c r="W22">
        <f>IF(入力!$B$2="男",成長曲線_男!V20,成長曲線_女!V20)</f>
        <v>6.7</v>
      </c>
      <c r="X22">
        <f>IF(入力!$B$2="男",成長曲線_男!W20,成長曲線_女!W20)</f>
        <v>0.7</v>
      </c>
      <c r="Y22">
        <f>IF(入力!$B$2="男",成長曲線_男!X20,成長曲線_女!X20)</f>
        <v>8.1</v>
      </c>
      <c r="Z22">
        <f>IF(入力!$B$2="男",成長曲線_男!Y20,成長曲線_女!Y20)</f>
        <v>7.4</v>
      </c>
      <c r="AA22">
        <f>IF(入力!$B$2="男",成長曲線_男!Z20,成長曲線_女!Z20)</f>
        <v>6</v>
      </c>
      <c r="AB22">
        <f>IF(入力!$B$2="男",成長曲線_男!AA20,成長曲線_女!AA20)</f>
        <v>5.3000000000000007</v>
      </c>
      <c r="AE22">
        <f>IF($D22*12&lt;150,IF($D22*12&lt;IF(入力!$B$2="男",78,69),2,3),4)+IF(入力!$B$2="男",0,4)</f>
        <v>6</v>
      </c>
      <c r="AF22">
        <f t="shared" si="2"/>
        <v>0.11277833401600001</v>
      </c>
      <c r="AG22">
        <f>IF($D22*12&lt;90,IF($D22*12&lt;26.75,IF($D22*12&lt;9.5,IF($D22*12&lt;2.5,2,3),4),5),6)+IF(入力!$B$2="男",0,6)+IF(AND(入力!$B$2&lt;&gt;"男",$D22*12&gt;=150),1,0)</f>
        <v>10</v>
      </c>
      <c r="AH22">
        <f t="shared" si="3"/>
        <v>15.677887864000002</v>
      </c>
      <c r="AI22">
        <f>IF(($D22*12)&lt;90,2,3)+IF(入力!$B$2="男",0,3)</f>
        <v>5</v>
      </c>
      <c r="AJ22">
        <f t="shared" si="4"/>
        <v>7.9257602640000008E-2</v>
      </c>
      <c r="AK22">
        <f t="shared" si="7"/>
        <v>13.489570921870916</v>
      </c>
      <c r="AL22">
        <f t="shared" si="7"/>
        <v>14.155345821860603</v>
      </c>
      <c r="AM22">
        <f t="shared" si="7"/>
        <v>14.859376242538533</v>
      </c>
      <c r="AN22">
        <f t="shared" si="7"/>
        <v>15.677887864000002</v>
      </c>
      <c r="AO22">
        <f t="shared" si="7"/>
        <v>16.536155721584759</v>
      </c>
      <c r="AP22">
        <f t="shared" si="7"/>
        <v>17.344000346209228</v>
      </c>
      <c r="AQ22">
        <f t="shared" si="7"/>
        <v>18.17558735059372</v>
      </c>
    </row>
    <row r="23" spans="1:43" x14ac:dyDescent="0.15">
      <c r="A23">
        <v>1</v>
      </c>
      <c r="B23" s="2">
        <v>7</v>
      </c>
      <c r="C23" s="2">
        <v>19</v>
      </c>
      <c r="D23" s="3">
        <f t="shared" si="6"/>
        <v>1.5833333333333335</v>
      </c>
      <c r="F23">
        <f>IF(入力!$B$2="男",成長曲線_男!E21,成長曲線_女!E21)</f>
        <v>80.3</v>
      </c>
      <c r="G23">
        <f>IF(入力!$B$2="男",成長曲線_男!F21,成長曲線_女!F21)</f>
        <v>2.8</v>
      </c>
      <c r="H23">
        <f>IF(入力!$B$2="男",成長曲線_男!G21,成長曲線_女!G21)</f>
        <v>85.899999999999991</v>
      </c>
      <c r="I23">
        <f>IF(入力!$B$2="男",成長曲線_男!H21,成長曲線_女!H21)</f>
        <v>83.1</v>
      </c>
      <c r="J23">
        <f>IF(入力!$B$2="男",成長曲線_男!I21,成長曲線_女!I21)</f>
        <v>77.5</v>
      </c>
      <c r="K23">
        <f>IF(入力!$B$2="男",成長曲線_男!J21,成長曲線_女!J21)</f>
        <v>74.7</v>
      </c>
      <c r="L23">
        <f>IF(入力!$B$2="男",成長曲線_男!K21,成長曲線_女!K21)</f>
        <v>73.3</v>
      </c>
      <c r="M23">
        <f>IF(入力!$B$2="男",成長曲線_男!L21,成長曲線_女!L21)</f>
        <v>71.900000000000006</v>
      </c>
      <c r="O23">
        <f>IF(入力!$B$2="男",成長曲線_男!N21,成長曲線_女!N21)</f>
        <v>10.199999999999999</v>
      </c>
      <c r="P23">
        <f>IF(入力!$B$2="男",成長曲線_男!O21,成長曲線_女!O21)</f>
        <v>1.07</v>
      </c>
      <c r="Q23">
        <f>IF(入力!$B$2="男",成長曲線_男!P21,成長曲線_女!P21)</f>
        <v>12.34</v>
      </c>
      <c r="R23">
        <f>IF(入力!$B$2="男",成長曲線_男!Q21,成長曲線_女!Q21)</f>
        <v>11.27</v>
      </c>
      <c r="S23">
        <f>IF(入力!$B$2="男",成長曲線_男!R21,成長曲線_女!R21)</f>
        <v>9.129999999999999</v>
      </c>
      <c r="T23">
        <f>IF(入力!$B$2="男",成長曲線_男!S21,成長曲線_女!S21)</f>
        <v>8.0599999999999987</v>
      </c>
      <c r="V23">
        <v>4.75</v>
      </c>
      <c r="W23">
        <f>IF(入力!$B$2="男",成長曲線_男!V21,成長曲線_女!V21)</f>
        <v>6.6</v>
      </c>
      <c r="X23">
        <f>IF(入力!$B$2="男",成長曲線_男!W21,成長曲線_女!W21)</f>
        <v>0.7</v>
      </c>
      <c r="Y23">
        <f>IF(入力!$B$2="男",成長曲線_男!X21,成長曲線_女!X21)</f>
        <v>8</v>
      </c>
      <c r="Z23">
        <f>IF(入力!$B$2="男",成長曲線_男!Y21,成長曲線_女!Y21)</f>
        <v>7.3</v>
      </c>
      <c r="AA23">
        <f>IF(入力!$B$2="男",成長曲線_男!Z21,成長曲線_女!Z21)</f>
        <v>5.8999999999999995</v>
      </c>
      <c r="AB23">
        <f>IF(入力!$B$2="男",成長曲線_男!AA21,成長曲線_女!AA21)</f>
        <v>5.1999999999999993</v>
      </c>
      <c r="AE23">
        <f>IF($D23*12&lt;150,IF($D23*12&lt;IF(入力!$B$2="男",78,69),2,3),4)+IF(入力!$B$2="男",0,4)</f>
        <v>6</v>
      </c>
      <c r="AF23">
        <f t="shared" si="2"/>
        <v>7.462119306699988E-2</v>
      </c>
      <c r="AG23">
        <f>IF($D23*12&lt;90,IF($D23*12&lt;26.75,IF($D23*12&lt;9.5,IF($D23*12&lt;2.5,2,3),4),5),6)+IF(入力!$B$2="男",0,6)+IF(AND(入力!$B$2&lt;&gt;"男",$D23*12&gt;=150),1,0)</f>
        <v>10</v>
      </c>
      <c r="AH23">
        <f t="shared" si="3"/>
        <v>15.626525792000002</v>
      </c>
      <c r="AI23">
        <f>IF(($D23*12)&lt;90,2,3)+IF(入力!$B$2="男",0,3)</f>
        <v>5</v>
      </c>
      <c r="AJ23">
        <f t="shared" si="4"/>
        <v>7.9086973480000003E-2</v>
      </c>
      <c r="AK23">
        <f t="shared" si="7"/>
        <v>13.455553137807373</v>
      </c>
      <c r="AL23">
        <f t="shared" si="7"/>
        <v>14.114894466237269</v>
      </c>
      <c r="AM23">
        <f t="shared" si="7"/>
        <v>14.813220190613952</v>
      </c>
      <c r="AN23">
        <f t="shared" si="7"/>
        <v>15.626525792000002</v>
      </c>
      <c r="AO23">
        <f t="shared" si="7"/>
        <v>16.480985255723521</v>
      </c>
      <c r="AP23">
        <f t="shared" si="7"/>
        <v>17.286788159042885</v>
      </c>
      <c r="AQ23">
        <f t="shared" si="7"/>
        <v>18.117832242691229</v>
      </c>
    </row>
    <row r="24" spans="1:43" x14ac:dyDescent="0.15">
      <c r="A24">
        <v>1</v>
      </c>
      <c r="B24" s="2">
        <v>8</v>
      </c>
      <c r="C24" s="2">
        <v>20</v>
      </c>
      <c r="D24" s="3">
        <f t="shared" si="6"/>
        <v>1.6666666666666665</v>
      </c>
      <c r="F24">
        <f>IF(入力!$B$2="男",成長曲線_男!E22,成長曲線_女!E22)</f>
        <v>81.2</v>
      </c>
      <c r="G24">
        <f>IF(入力!$B$2="男",成長曲線_男!F22,成長曲線_女!F22)</f>
        <v>2.8</v>
      </c>
      <c r="H24">
        <f>IF(入力!$B$2="男",成長曲線_男!G22,成長曲線_女!G22)</f>
        <v>86.8</v>
      </c>
      <c r="I24">
        <f>IF(入力!$B$2="男",成長曲線_男!H22,成長曲線_女!H22)</f>
        <v>84</v>
      </c>
      <c r="J24">
        <f>IF(入力!$B$2="男",成長曲線_男!I22,成長曲線_女!I22)</f>
        <v>78.400000000000006</v>
      </c>
      <c r="K24">
        <f>IF(入力!$B$2="男",成長曲線_男!J22,成長曲線_女!J22)</f>
        <v>75.600000000000009</v>
      </c>
      <c r="L24">
        <f>IF(入力!$B$2="男",成長曲線_男!K22,成長曲線_女!K22)</f>
        <v>74.2</v>
      </c>
      <c r="M24">
        <f>IF(入力!$B$2="男",成長曲線_男!L22,成長曲線_女!L22)</f>
        <v>72.800000000000011</v>
      </c>
      <c r="O24">
        <f>IF(入力!$B$2="男",成長曲線_男!N22,成長曲線_女!N22)</f>
        <v>10.4</v>
      </c>
      <c r="P24">
        <f>IF(入力!$B$2="男",成長曲線_男!O22,成長曲線_女!O22)</f>
        <v>1.08</v>
      </c>
      <c r="Q24">
        <f>IF(入力!$B$2="男",成長曲線_男!P22,成長曲線_女!P22)</f>
        <v>12.56</v>
      </c>
      <c r="R24">
        <f>IF(入力!$B$2="男",成長曲線_男!Q22,成長曲線_女!Q22)</f>
        <v>11.48</v>
      </c>
      <c r="S24">
        <f>IF(入力!$B$2="男",成長曲線_男!R22,成長曲線_女!R22)</f>
        <v>9.32</v>
      </c>
      <c r="T24">
        <f>IF(入力!$B$2="男",成長曲線_男!S22,成長曲線_女!S22)</f>
        <v>8.24</v>
      </c>
      <c r="V24">
        <v>5</v>
      </c>
      <c r="W24">
        <f>IF(入力!$B$2="男",成長曲線_男!V22,成長曲線_女!V22)</f>
        <v>6.5</v>
      </c>
      <c r="X24">
        <f>IF(入力!$B$2="男",成長曲線_男!W22,成長曲線_女!W22)</f>
        <v>0.7</v>
      </c>
      <c r="Y24">
        <f>IF(入力!$B$2="男",成長曲線_男!X22,成長曲線_女!X22)</f>
        <v>7.9</v>
      </c>
      <c r="Z24">
        <f>IF(入力!$B$2="男",成長曲線_男!Y22,成長曲線_女!Y22)</f>
        <v>7.2</v>
      </c>
      <c r="AA24">
        <f>IF(入力!$B$2="男",成長曲線_男!Z22,成長曲線_女!Z22)</f>
        <v>5.8</v>
      </c>
      <c r="AB24">
        <f>IF(入力!$B$2="男",成長曲線_男!AA22,成長曲線_女!AA22)</f>
        <v>5.0999999999999996</v>
      </c>
      <c r="AE24">
        <f>IF($D24*12&lt;150,IF($D24*12&lt;IF(入力!$B$2="男",78,69),2,3),4)+IF(入力!$B$2="男",0,4)</f>
        <v>6</v>
      </c>
      <c r="AF24">
        <f t="shared" si="2"/>
        <v>3.6455964999999924E-2</v>
      </c>
      <c r="AG24">
        <f>IF($D24*12&lt;90,IF($D24*12&lt;26.75,IF($D24*12&lt;9.5,IF($D24*12&lt;2.5,2,3),4),5),6)+IF(入力!$B$2="男",0,6)+IF(AND(入力!$B$2&lt;&gt;"男",$D24*12&gt;=150),1,0)</f>
        <v>10</v>
      </c>
      <c r="AH24">
        <f t="shared" si="3"/>
        <v>15.583358400000002</v>
      </c>
      <c r="AI24">
        <f>IF(($D24*12)&lt;90,2,3)+IF(入力!$B$2="男",0,3)</f>
        <v>5</v>
      </c>
      <c r="AJ24">
        <f t="shared" si="4"/>
        <v>7.8951090000000002E-2</v>
      </c>
      <c r="AK24">
        <f t="shared" si="7"/>
        <v>13.427562482109638</v>
      </c>
      <c r="AL24">
        <f t="shared" si="7"/>
        <v>14.081144259568172</v>
      </c>
      <c r="AM24">
        <f t="shared" si="7"/>
        <v>14.774461527190539</v>
      </c>
      <c r="AN24">
        <f t="shared" si="7"/>
        <v>15.583358400000002</v>
      </c>
      <c r="AO24">
        <f t="shared" si="7"/>
        <v>16.434842987211933</v>
      </c>
      <c r="AP24">
        <f t="shared" si="7"/>
        <v>17.23939754796444</v>
      </c>
      <c r="AQ24">
        <f t="shared" si="7"/>
        <v>18.070735524655746</v>
      </c>
    </row>
    <row r="25" spans="1:43" x14ac:dyDescent="0.15">
      <c r="A25">
        <v>1</v>
      </c>
      <c r="B25" s="2">
        <v>9</v>
      </c>
      <c r="C25" s="2">
        <v>21</v>
      </c>
      <c r="D25" s="3">
        <f t="shared" si="6"/>
        <v>1.75</v>
      </c>
      <c r="F25">
        <f>IF(入力!$B$2="男",成長曲線_男!E23,成長曲線_女!E23)</f>
        <v>82</v>
      </c>
      <c r="G25">
        <f>IF(入力!$B$2="男",成長曲線_男!F23,成長曲線_女!F23)</f>
        <v>2.8</v>
      </c>
      <c r="H25">
        <f>IF(入力!$B$2="男",成長曲線_男!G23,成長曲線_女!G23)</f>
        <v>87.6</v>
      </c>
      <c r="I25">
        <f>IF(入力!$B$2="男",成長曲線_男!H23,成長曲線_女!H23)</f>
        <v>84.8</v>
      </c>
      <c r="J25">
        <f>IF(入力!$B$2="男",成長曲線_男!I23,成長曲線_女!I23)</f>
        <v>79.2</v>
      </c>
      <c r="K25">
        <f>IF(入力!$B$2="男",成長曲線_男!J23,成長曲線_女!J23)</f>
        <v>76.400000000000006</v>
      </c>
      <c r="L25">
        <f>IF(入力!$B$2="男",成長曲線_男!K23,成長曲線_女!K23)</f>
        <v>75</v>
      </c>
      <c r="M25">
        <f>IF(入力!$B$2="男",成長曲線_男!L23,成長曲線_女!L23)</f>
        <v>73.599999999999994</v>
      </c>
      <c r="O25">
        <f>IF(入力!$B$2="男",成長曲線_男!N23,成長曲線_女!N23)</f>
        <v>10.4</v>
      </c>
      <c r="P25">
        <f>IF(入力!$B$2="男",成長曲線_男!O23,成長曲線_女!O23)</f>
        <v>1.04</v>
      </c>
      <c r="Q25">
        <f>IF(入力!$B$2="男",成長曲線_男!P23,成長曲線_女!P23)</f>
        <v>12.48</v>
      </c>
      <c r="R25">
        <f>IF(入力!$B$2="男",成長曲線_男!Q23,成長曲線_女!Q23)</f>
        <v>11.440000000000001</v>
      </c>
      <c r="S25">
        <f>IF(入力!$B$2="男",成長曲線_男!R23,成長曲線_女!R23)</f>
        <v>9.36</v>
      </c>
      <c r="T25">
        <f>IF(入力!$B$2="男",成長曲線_男!S23,成長曲線_女!S23)</f>
        <v>8.32</v>
      </c>
      <c r="V25">
        <v>5.25</v>
      </c>
      <c r="W25">
        <f>IF(入力!$B$2="男",成長曲線_男!V23,成長曲線_女!V23)</f>
        <v>6.4</v>
      </c>
      <c r="X25">
        <f>IF(入力!$B$2="男",成長曲線_男!W23,成長曲線_女!W23)</f>
        <v>0.7</v>
      </c>
      <c r="Y25">
        <f>IF(入力!$B$2="男",成長曲線_男!X23,成長曲線_女!X23)</f>
        <v>7.8000000000000007</v>
      </c>
      <c r="Z25">
        <f>IF(入力!$B$2="男",成長曲線_男!Y23,成長曲線_女!Y23)</f>
        <v>7.1000000000000005</v>
      </c>
      <c r="AA25">
        <f>IF(入力!$B$2="男",成長曲線_男!Z23,成長曲線_女!Z23)</f>
        <v>5.7</v>
      </c>
      <c r="AB25">
        <f>IF(入力!$B$2="男",成長曲線_男!AA23,成長曲線_女!AA23)</f>
        <v>5</v>
      </c>
      <c r="AE25">
        <f>IF($D25*12&lt;150,IF($D25*12&lt;IF(入力!$B$2="男",78,69),2,3),4)+IF(入力!$B$2="男",0,4)</f>
        <v>6</v>
      </c>
      <c r="AF25">
        <f t="shared" si="2"/>
        <v>-1.7152645070001027E-3</v>
      </c>
      <c r="AG25">
        <f>IF($D25*12&lt;90,IF($D25*12&lt;26.75,IF($D25*12&lt;9.5,IF($D25*12&lt;2.5,2,3),4),5),6)+IF(入力!$B$2="男",0,6)+IF(AND(入力!$B$2&lt;&gt;"男",$D25*12&gt;=150),1,0)</f>
        <v>10</v>
      </c>
      <c r="AH25">
        <f t="shared" si="3"/>
        <v>15.547374658000003</v>
      </c>
      <c r="AI25">
        <f>IF(($D25*12)&lt;90,2,3)+IF(入力!$B$2="男",0,3)</f>
        <v>5</v>
      </c>
      <c r="AJ25">
        <f t="shared" si="4"/>
        <v>7.884933912E-2</v>
      </c>
      <c r="AK25">
        <f t="shared" si="7"/>
        <v>13.404779433543766</v>
      </c>
      <c r="AL25">
        <f t="shared" si="7"/>
        <v>14.05321302050007</v>
      </c>
      <c r="AM25">
        <f t="shared" si="7"/>
        <v>14.742156028506622</v>
      </c>
      <c r="AN25">
        <f t="shared" si="7"/>
        <v>15.547374658000003</v>
      </c>
      <c r="AO25">
        <f t="shared" si="7"/>
        <v>16.396653990468216</v>
      </c>
      <c r="AP25">
        <f t="shared" si="7"/>
        <v>17.200699375776015</v>
      </c>
      <c r="AQ25">
        <f t="shared" si="7"/>
        <v>18.033118607553188</v>
      </c>
    </row>
    <row r="26" spans="1:43" x14ac:dyDescent="0.15">
      <c r="A26">
        <v>1</v>
      </c>
      <c r="B26" s="2">
        <v>10</v>
      </c>
      <c r="C26" s="2">
        <v>22</v>
      </c>
      <c r="D26" s="3">
        <f t="shared" si="6"/>
        <v>1.8333333333333335</v>
      </c>
      <c r="F26">
        <f>IF(入力!$B$2="男",成長曲線_男!E24,成長曲線_女!E24)</f>
        <v>82.8</v>
      </c>
      <c r="G26">
        <f>IF(入力!$B$2="男",成長曲線_男!F24,成長曲線_女!F24)</f>
        <v>2.9</v>
      </c>
      <c r="H26">
        <f>IF(入力!$B$2="男",成長曲線_男!G24,成長曲線_女!G24)</f>
        <v>88.6</v>
      </c>
      <c r="I26">
        <f>IF(入力!$B$2="男",成長曲線_男!H24,成長曲線_女!H24)</f>
        <v>85.7</v>
      </c>
      <c r="J26">
        <f>IF(入力!$B$2="男",成長曲線_男!I24,成長曲線_女!I24)</f>
        <v>79.899999999999991</v>
      </c>
      <c r="K26">
        <f>IF(入力!$B$2="男",成長曲線_男!J24,成長曲線_女!J24)</f>
        <v>77</v>
      </c>
      <c r="L26">
        <f>IF(入力!$B$2="男",成長曲線_男!K24,成長曲線_女!K24)</f>
        <v>75.55</v>
      </c>
      <c r="M26">
        <f>IF(入力!$B$2="男",成長曲線_男!L24,成長曲線_女!L24)</f>
        <v>74.099999999999994</v>
      </c>
      <c r="O26">
        <f>IF(入力!$B$2="男",成長曲線_男!N24,成長曲線_女!N24)</f>
        <v>10.7</v>
      </c>
      <c r="P26">
        <f>IF(入力!$B$2="男",成長曲線_男!O24,成長曲線_女!O24)</f>
        <v>1.19</v>
      </c>
      <c r="Q26">
        <f>IF(入力!$B$2="男",成長曲線_男!P24,成長曲線_女!P24)</f>
        <v>13.079999999999998</v>
      </c>
      <c r="R26">
        <f>IF(入力!$B$2="男",成長曲線_男!Q24,成長曲線_女!Q24)</f>
        <v>11.889999999999999</v>
      </c>
      <c r="S26">
        <f>IF(入力!$B$2="男",成長曲線_男!R24,成長曲線_女!R24)</f>
        <v>9.51</v>
      </c>
      <c r="T26">
        <f>IF(入力!$B$2="男",成長曲線_男!S24,成長曲線_女!S24)</f>
        <v>8.32</v>
      </c>
      <c r="V26">
        <v>5.5</v>
      </c>
      <c r="W26">
        <f>IF(入力!$B$2="男",成長曲線_男!V24,成長曲線_女!V24)</f>
        <v>6.3</v>
      </c>
      <c r="X26">
        <f>IF(入力!$B$2="男",成長曲線_男!W24,成長曲線_女!W24)</f>
        <v>0.7</v>
      </c>
      <c r="Y26">
        <f>IF(入力!$B$2="男",成長曲線_男!X24,成長曲線_女!X24)</f>
        <v>7.6999999999999993</v>
      </c>
      <c r="Z26">
        <f>IF(入力!$B$2="男",成長曲線_男!Y24,成長曲線_女!Y24)</f>
        <v>7</v>
      </c>
      <c r="AA26">
        <f>IF(入力!$B$2="男",成長曲線_男!Z24,成長曲線_女!Z24)</f>
        <v>5.6</v>
      </c>
      <c r="AB26">
        <f>IF(入力!$B$2="男",成長曲線_男!AA24,成長曲線_女!AA24)</f>
        <v>4.9000000000000004</v>
      </c>
      <c r="AE26">
        <f>IF($D26*12&lt;150,IF($D26*12&lt;IF(入力!$B$2="男",78,69),2,3),4)+IF(入力!$B$2="男",0,4)</f>
        <v>6</v>
      </c>
      <c r="AF26">
        <f t="shared" si="2"/>
        <v>-3.9890409776000113E-2</v>
      </c>
      <c r="AG26">
        <f>IF($D26*12&lt;90,IF($D26*12&lt;26.75,IF($D26*12&lt;9.5,IF($D26*12&lt;2.5,2,3),4),5),6)+IF(入力!$B$2="男",0,6)+IF(AND(入力!$B$2&lt;&gt;"男",$D26*12&gt;=150),1,0)</f>
        <v>10</v>
      </c>
      <c r="AH26">
        <f t="shared" si="3"/>
        <v>15.517563536000001</v>
      </c>
      <c r="AI26">
        <f>IF(($D26*12)&lt;90,2,3)+IF(入力!$B$2="男",0,3)</f>
        <v>5</v>
      </c>
      <c r="AJ26">
        <f t="shared" si="4"/>
        <v>7.878110776000001E-2</v>
      </c>
      <c r="AK26">
        <f t="shared" si="7"/>
        <v>13.386378792298657</v>
      </c>
      <c r="AL26">
        <f t="shared" si="7"/>
        <v>14.030215104247111</v>
      </c>
      <c r="AM26">
        <f t="shared" si="7"/>
        <v>14.715357860535423</v>
      </c>
      <c r="AN26">
        <f t="shared" si="7"/>
        <v>15.517563536000001</v>
      </c>
      <c r="AO26">
        <f t="shared" si="7"/>
        <v>16.365344510168526</v>
      </c>
      <c r="AP26">
        <f t="shared" si="7"/>
        <v>17.169566403675546</v>
      </c>
      <c r="AQ26">
        <f t="shared" si="7"/>
        <v>18.003805293674446</v>
      </c>
    </row>
    <row r="27" spans="1:43" x14ac:dyDescent="0.15">
      <c r="A27">
        <v>1</v>
      </c>
      <c r="B27" s="2">
        <v>11</v>
      </c>
      <c r="C27" s="2">
        <v>23</v>
      </c>
      <c r="D27" s="3">
        <f t="shared" si="6"/>
        <v>1.9166666666666665</v>
      </c>
      <c r="F27">
        <f>IF(入力!$B$2="男",成長曲線_男!E25,成長曲線_女!E25)</f>
        <v>83.5</v>
      </c>
      <c r="G27">
        <f>IF(入力!$B$2="男",成長曲線_男!F25,成長曲線_女!F25)</f>
        <v>2.9</v>
      </c>
      <c r="H27">
        <f>IF(入力!$B$2="男",成長曲線_男!G25,成長曲線_女!G25)</f>
        <v>89.3</v>
      </c>
      <c r="I27">
        <f>IF(入力!$B$2="男",成長曲線_男!H25,成長曲線_女!H25)</f>
        <v>86.4</v>
      </c>
      <c r="J27">
        <f>IF(入力!$B$2="男",成長曲線_男!I25,成長曲線_女!I25)</f>
        <v>80.599999999999994</v>
      </c>
      <c r="K27">
        <f>IF(入力!$B$2="男",成長曲線_男!J25,成長曲線_女!J25)</f>
        <v>77.7</v>
      </c>
      <c r="L27">
        <f>IF(入力!$B$2="男",成長曲線_男!K25,成長曲線_女!K25)</f>
        <v>76.25</v>
      </c>
      <c r="M27">
        <f>IF(入力!$B$2="男",成長曲線_男!L25,成長曲線_女!L25)</f>
        <v>74.8</v>
      </c>
      <c r="O27">
        <f>IF(入力!$B$2="男",成長曲線_男!N25,成長曲線_女!N25)</f>
        <v>11</v>
      </c>
      <c r="P27">
        <f>IF(入力!$B$2="男",成長曲線_男!O25,成長曲線_女!O25)</f>
        <v>1.23</v>
      </c>
      <c r="Q27">
        <f>IF(入力!$B$2="男",成長曲線_男!P25,成長曲線_女!P25)</f>
        <v>13.46</v>
      </c>
      <c r="R27">
        <f>IF(入力!$B$2="男",成長曲線_男!Q25,成長曲線_女!Q25)</f>
        <v>12.23</v>
      </c>
      <c r="S27">
        <f>IF(入力!$B$2="男",成長曲線_男!R25,成長曲線_女!R25)</f>
        <v>9.77</v>
      </c>
      <c r="T27">
        <f>IF(入力!$B$2="男",成長曲線_男!S25,成長曲線_女!S25)</f>
        <v>8.5399999999999991</v>
      </c>
      <c r="V27">
        <v>5.75</v>
      </c>
      <c r="W27">
        <f>IF(入力!$B$2="男",成長曲線_男!V25,成長曲線_女!V25)</f>
        <v>6.3</v>
      </c>
      <c r="X27">
        <f>IF(入力!$B$2="男",成長曲線_男!W25,成長曲線_女!W25)</f>
        <v>0.7</v>
      </c>
      <c r="Y27">
        <f>IF(入力!$B$2="男",成長曲線_男!X25,成長曲線_女!X25)</f>
        <v>7.6999999999999993</v>
      </c>
      <c r="Z27">
        <f>IF(入力!$B$2="男",成長曲線_男!Y25,成長曲線_女!Y25)</f>
        <v>7</v>
      </c>
      <c r="AA27">
        <f>IF(入力!$B$2="男",成長曲線_男!Z25,成長曲線_女!Z25)</f>
        <v>5.6</v>
      </c>
      <c r="AB27">
        <f>IF(入力!$B$2="男",成長曲線_男!AA25,成長曲線_女!AA25)</f>
        <v>4.9000000000000004</v>
      </c>
      <c r="AE27">
        <f>IF($D27*12&lt;150,IF($D27*12&lt;IF(入力!$B$2="男",78,69),2,3),4)+IF(入力!$B$2="男",0,4)</f>
        <v>6</v>
      </c>
      <c r="AF27">
        <f t="shared" si="2"/>
        <v>-7.8067385129000133E-2</v>
      </c>
      <c r="AG27">
        <f>IF($D27*12&lt;90,IF($D27*12&lt;26.75,IF($D27*12&lt;9.5,IF($D27*12&lt;2.5,2,3),4),5),6)+IF(入力!$B$2="男",0,6)+IF(AND(入力!$B$2&lt;&gt;"男",$D27*12&gt;=150),1,0)</f>
        <v>10</v>
      </c>
      <c r="AH27">
        <f t="shared" si="3"/>
        <v>15.492914004000001</v>
      </c>
      <c r="AI27">
        <f>IF(($D27*12)&lt;90,2,3)+IF(入力!$B$2="男",0,3)</f>
        <v>5</v>
      </c>
      <c r="AJ27">
        <f t="shared" si="4"/>
        <v>7.874578284E-2</v>
      </c>
      <c r="AK27">
        <f t="shared" si="7"/>
        <v>13.371530441900173</v>
      </c>
      <c r="AL27">
        <f t="shared" si="7"/>
        <v>14.011261908204292</v>
      </c>
      <c r="AM27">
        <f t="shared" si="7"/>
        <v>14.693119840147345</v>
      </c>
      <c r="AN27">
        <f t="shared" si="7"/>
        <v>15.492914004000001</v>
      </c>
      <c r="AO27">
        <f t="shared" si="7"/>
        <v>16.339841703376596</v>
      </c>
      <c r="AP27">
        <f t="shared" si="7"/>
        <v>17.144872798960566</v>
      </c>
      <c r="AQ27">
        <f t="shared" si="7"/>
        <v>17.981621048744994</v>
      </c>
    </row>
    <row r="28" spans="1:43" x14ac:dyDescent="0.15">
      <c r="A28">
        <v>2</v>
      </c>
      <c r="B28" s="2">
        <v>0</v>
      </c>
      <c r="C28" s="2">
        <v>24</v>
      </c>
      <c r="D28" s="3">
        <f t="shared" si="6"/>
        <v>2</v>
      </c>
      <c r="F28">
        <f>IF(入力!$B$2="男",成長曲線_男!E26,成長曲線_女!E26)</f>
        <v>84.3</v>
      </c>
      <c r="G28">
        <f>IF(入力!$B$2="男",成長曲線_男!F26,成長曲線_女!F26)</f>
        <v>2.9</v>
      </c>
      <c r="H28">
        <f>IF(入力!$B$2="男",成長曲線_男!G26,成長曲線_女!G26)</f>
        <v>90.1</v>
      </c>
      <c r="I28">
        <f>IF(入力!$B$2="男",成長曲線_男!H26,成長曲線_女!H26)</f>
        <v>87.2</v>
      </c>
      <c r="J28">
        <f>IF(入力!$B$2="男",成長曲線_男!I26,成長曲線_女!I26)</f>
        <v>81.399999999999991</v>
      </c>
      <c r="K28">
        <f>IF(入力!$B$2="男",成長曲線_男!J26,成長曲線_女!J26)</f>
        <v>78.5</v>
      </c>
      <c r="L28">
        <f>IF(入力!$B$2="男",成長曲線_男!K26,成長曲線_女!K26)</f>
        <v>77.05</v>
      </c>
      <c r="M28">
        <f>IF(入力!$B$2="男",成長曲線_男!L26,成長曲線_女!L26)</f>
        <v>75.599999999999994</v>
      </c>
      <c r="O28">
        <f>IF(入力!$B$2="男",成長曲線_男!N26,成長曲線_女!N26)</f>
        <v>11</v>
      </c>
      <c r="P28">
        <f>IF(入力!$B$2="男",成長曲線_男!O26,成長曲線_女!O26)</f>
        <v>1.1200000000000001</v>
      </c>
      <c r="Q28">
        <f>IF(入力!$B$2="男",成長曲線_男!P26,成長曲線_女!P26)</f>
        <v>13.24</v>
      </c>
      <c r="R28">
        <f>IF(入力!$B$2="男",成長曲線_男!Q26,成長曲線_女!Q26)</f>
        <v>12.120000000000001</v>
      </c>
      <c r="S28">
        <f>IF(入力!$B$2="男",成長曲線_男!R26,成長曲線_女!R26)</f>
        <v>9.879999999999999</v>
      </c>
      <c r="T28">
        <f>IF(入力!$B$2="男",成長曲線_男!S26,成長曲線_女!S26)</f>
        <v>8.76</v>
      </c>
      <c r="V28">
        <v>6</v>
      </c>
      <c r="W28">
        <f>IF(入力!$B$2="男",成長曲線_男!V26,成長曲線_女!V26)</f>
        <v>6.1</v>
      </c>
      <c r="X28">
        <f>IF(入力!$B$2="男",成長曲線_男!W26,成長曲線_女!W26)</f>
        <v>0.7</v>
      </c>
      <c r="Y28">
        <f>IF(入力!$B$2="男",成長曲線_男!X26,成長曲線_女!X26)</f>
        <v>7.5</v>
      </c>
      <c r="Z28">
        <f>IF(入力!$B$2="男",成長曲線_男!Y26,成長曲線_女!Y26)</f>
        <v>6.8</v>
      </c>
      <c r="AA28">
        <f>IF(入力!$B$2="男",成長曲線_男!Z26,成長曲線_女!Z26)</f>
        <v>5.3999999999999995</v>
      </c>
      <c r="AB28">
        <f>IF(入力!$B$2="男",成長曲線_男!AA26,成長曲線_女!AA26)</f>
        <v>4.6999999999999993</v>
      </c>
      <c r="AE28">
        <f>IF($D28*12&lt;150,IF($D28*12&lt;IF(入力!$B$2="男",78,69),2,3),4)+IF(入力!$B$2="男",0,4)</f>
        <v>6</v>
      </c>
      <c r="AF28">
        <f t="shared" si="2"/>
        <v>-0.11624410488800008</v>
      </c>
      <c r="AG28">
        <f>IF($D28*12&lt;90,IF($D28*12&lt;26.75,IF($D28*12&lt;9.5,IF($D28*12&lt;2.5,2,3),4),5),6)+IF(入力!$B$2="男",0,6)+IF(AND(入力!$B$2&lt;&gt;"男",$D28*12&gt;=150),1,0)</f>
        <v>10</v>
      </c>
      <c r="AH28">
        <f t="shared" si="3"/>
        <v>15.472415032000002</v>
      </c>
      <c r="AI28">
        <f>IF(($D28*12)&lt;90,2,3)+IF(入力!$B$2="男",0,3)</f>
        <v>5</v>
      </c>
      <c r="AJ28">
        <f t="shared" si="4"/>
        <v>7.8742751280000009E-2</v>
      </c>
      <c r="AK28">
        <f t="shared" si="7"/>
        <v>13.359400066786455</v>
      </c>
      <c r="AL28">
        <f t="shared" si="7"/>
        <v>13.99546235192555</v>
      </c>
      <c r="AM28">
        <f t="shared" si="7"/>
        <v>14.674493685199542</v>
      </c>
      <c r="AN28">
        <f t="shared" si="7"/>
        <v>15.472415032000002</v>
      </c>
      <c r="AO28">
        <f t="shared" si="7"/>
        <v>16.319073387235807</v>
      </c>
      <c r="AP28">
        <f t="shared" si="7"/>
        <v>17.125493648335002</v>
      </c>
      <c r="AQ28">
        <f t="shared" si="7"/>
        <v>17.965392274916187</v>
      </c>
    </row>
    <row r="29" spans="1:43" x14ac:dyDescent="0.15">
      <c r="A29">
        <v>2</v>
      </c>
      <c r="B29" s="2">
        <v>1</v>
      </c>
      <c r="D29" s="3">
        <f t="shared" si="6"/>
        <v>2.0833333333333335</v>
      </c>
      <c r="F29">
        <f>IF(入力!$B$2="男",成長曲線_男!E27,成長曲線_女!E27)</f>
        <v>85</v>
      </c>
      <c r="G29">
        <f>IF(入力!$B$2="男",成長曲線_男!F27,成長曲線_女!F27)</f>
        <v>3</v>
      </c>
      <c r="H29">
        <f>IF(入力!$B$2="男",成長曲線_男!G27,成長曲線_女!G27)</f>
        <v>91</v>
      </c>
      <c r="I29">
        <f>IF(入力!$B$2="男",成長曲線_男!H27,成長曲線_女!H27)</f>
        <v>88</v>
      </c>
      <c r="J29">
        <f>IF(入力!$B$2="男",成長曲線_男!I27,成長曲線_女!I27)</f>
        <v>82</v>
      </c>
      <c r="K29">
        <f>IF(入力!$B$2="男",成長曲線_男!J27,成長曲線_女!J27)</f>
        <v>79</v>
      </c>
      <c r="L29">
        <f>IF(入力!$B$2="男",成長曲線_男!K27,成長曲線_女!K27)</f>
        <v>77.5</v>
      </c>
      <c r="M29">
        <f>IF(入力!$B$2="男",成長曲線_男!L27,成長曲線_女!L27)</f>
        <v>76</v>
      </c>
      <c r="O29">
        <f>IF(入力!$B$2="男",成長曲線_男!N27,成長曲線_女!N27)</f>
        <v>11.2</v>
      </c>
      <c r="P29">
        <f>IF(入力!$B$2="男",成長曲線_男!O27,成長曲線_女!O27)</f>
        <v>1.18</v>
      </c>
      <c r="Q29">
        <f>IF(入力!$B$2="男",成長曲線_男!P27,成長曲線_女!P27)</f>
        <v>13.559999999999999</v>
      </c>
      <c r="R29">
        <f>IF(入力!$B$2="男",成長曲線_男!Q27,成長曲線_女!Q27)</f>
        <v>12.379999999999999</v>
      </c>
      <c r="S29">
        <f>IF(入力!$B$2="男",成長曲線_男!R27,成長曲線_女!R27)</f>
        <v>10.02</v>
      </c>
      <c r="T29">
        <f>IF(入力!$B$2="男",成長曲線_男!S27,成長曲線_女!S27)</f>
        <v>8.84</v>
      </c>
      <c r="V29">
        <v>6.25</v>
      </c>
      <c r="W29">
        <f>IF(入力!$B$2="男",成長曲線_男!V27,成長曲線_女!V27)</f>
        <v>6.1</v>
      </c>
      <c r="X29">
        <f>IF(入力!$B$2="男",成長曲線_男!W27,成長曲線_女!W27)</f>
        <v>0.7</v>
      </c>
      <c r="Y29">
        <f>IF(入力!$B$2="男",成長曲線_男!X27,成長曲線_女!X27)</f>
        <v>7.5</v>
      </c>
      <c r="Z29">
        <f>IF(入力!$B$2="男",成長曲線_男!Y27,成長曲線_女!Y27)</f>
        <v>6.8</v>
      </c>
      <c r="AA29">
        <f>IF(入力!$B$2="男",成長曲線_男!Z27,成長曲線_女!Z27)</f>
        <v>5.3999999999999995</v>
      </c>
      <c r="AB29">
        <f>IF(入力!$B$2="男",成長曲線_男!AA27,成長曲線_女!AA27)</f>
        <v>4.6999999999999993</v>
      </c>
      <c r="AE29">
        <f>IF($D29*12&lt;150,IF($D29*12&lt;IF(入力!$B$2="男",78,69),2,3),4)+IF(入力!$B$2="男",0,4)</f>
        <v>6</v>
      </c>
      <c r="AF29">
        <f t="shared" si="2"/>
        <v>-0.15441848337500008</v>
      </c>
      <c r="AG29">
        <f>IF($D29*12&lt;90,IF($D29*12&lt;26.75,IF($D29*12&lt;9.5,IF($D29*12&lt;2.5,2,3),4),5),6)+IF(入力!$B$2="男",0,6)+IF(AND(入力!$B$2&lt;&gt;"男",$D29*12&gt;=150),1,0)</f>
        <v>10</v>
      </c>
      <c r="AH29">
        <f t="shared" si="3"/>
        <v>15.455055590000002</v>
      </c>
      <c r="AI29">
        <f>IF(($D29*12)&lt;90,2,3)+IF(入力!$B$2="男",0,3)</f>
        <v>5</v>
      </c>
      <c r="AJ29">
        <f t="shared" si="4"/>
        <v>7.8771400000000005E-2</v>
      </c>
      <c r="AK29">
        <f t="shared" si="7"/>
        <v>13.349149827109892</v>
      </c>
      <c r="AL29">
        <f t="shared" si="7"/>
        <v>13.981923332097868</v>
      </c>
      <c r="AM29">
        <f t="shared" si="7"/>
        <v>14.658530253693932</v>
      </c>
      <c r="AN29">
        <f t="shared" si="7"/>
        <v>15.455055590000002</v>
      </c>
      <c r="AO29">
        <f t="shared" si="7"/>
        <v>16.301967792297631</v>
      </c>
      <c r="AP29">
        <f t="shared" si="7"/>
        <v>17.110304476937543</v>
      </c>
      <c r="AQ29">
        <f t="shared" si="7"/>
        <v>17.953945584529304</v>
      </c>
    </row>
    <row r="30" spans="1:43" x14ac:dyDescent="0.15">
      <c r="A30">
        <v>2</v>
      </c>
      <c r="B30" s="2">
        <v>2</v>
      </c>
      <c r="D30" s="3">
        <f t="shared" si="6"/>
        <v>2.1666666666666665</v>
      </c>
      <c r="F30">
        <f>IF(入力!$B$2="男",成長曲線_男!E28,成長曲線_女!E28)</f>
        <v>85.7</v>
      </c>
      <c r="G30">
        <f>IF(入力!$B$2="男",成長曲線_男!F28,成長曲線_女!F28)</f>
        <v>3</v>
      </c>
      <c r="H30">
        <f>IF(入力!$B$2="男",成長曲線_男!G28,成長曲線_女!G28)</f>
        <v>91.7</v>
      </c>
      <c r="I30">
        <f>IF(入力!$B$2="男",成長曲線_男!H28,成長曲線_女!H28)</f>
        <v>88.7</v>
      </c>
      <c r="J30">
        <f>IF(入力!$B$2="男",成長曲線_男!I28,成長曲線_女!I28)</f>
        <v>82.7</v>
      </c>
      <c r="K30">
        <f>IF(入力!$B$2="男",成長曲線_男!J28,成長曲線_女!J28)</f>
        <v>79.7</v>
      </c>
      <c r="L30">
        <f>IF(入力!$B$2="男",成長曲線_男!K28,成長曲線_女!K28)</f>
        <v>78.2</v>
      </c>
      <c r="M30">
        <f>IF(入力!$B$2="男",成長曲線_男!L28,成長曲線_女!L28)</f>
        <v>76.7</v>
      </c>
      <c r="O30">
        <f>IF(入力!$B$2="男",成長曲線_男!N28,成長曲線_女!N28)</f>
        <v>11.4</v>
      </c>
      <c r="P30">
        <f>IF(入力!$B$2="男",成長曲線_男!O28,成長曲線_女!O28)</f>
        <v>1.25</v>
      </c>
      <c r="Q30">
        <f>IF(入力!$B$2="男",成長曲線_男!P28,成長曲線_女!P28)</f>
        <v>13.9</v>
      </c>
      <c r="R30">
        <f>IF(入力!$B$2="男",成長曲線_男!Q28,成長曲線_女!Q28)</f>
        <v>12.65</v>
      </c>
      <c r="S30">
        <f>IF(入力!$B$2="男",成長曲線_男!R28,成長曲線_女!R28)</f>
        <v>10.15</v>
      </c>
      <c r="T30">
        <f>IF(入力!$B$2="男",成長曲線_男!S28,成長曲線_女!S28)</f>
        <v>8.9</v>
      </c>
      <c r="V30">
        <v>6.5</v>
      </c>
      <c r="W30">
        <f>IF(入力!$B$2="男",成長曲線_男!V28,成長曲線_女!V28)</f>
        <v>5.9</v>
      </c>
      <c r="X30">
        <f>IF(入力!$B$2="男",成長曲線_男!W28,成長曲線_女!W28)</f>
        <v>0.7</v>
      </c>
      <c r="Y30">
        <f>IF(入力!$B$2="男",成長曲線_男!X28,成長曲線_女!X28)</f>
        <v>7.3000000000000007</v>
      </c>
      <c r="Z30">
        <f>IF(入力!$B$2="男",成長曲線_男!Y28,成長曲線_女!Y28)</f>
        <v>6.6000000000000005</v>
      </c>
      <c r="AA30">
        <f>IF(入力!$B$2="男",成長曲線_男!Z28,成長曲線_女!Z28)</f>
        <v>5.2</v>
      </c>
      <c r="AB30">
        <f>IF(入力!$B$2="男",成長曲線_男!AA28,成長曲線_女!AA28)</f>
        <v>4.5</v>
      </c>
      <c r="AE30">
        <f>IF($D30*12&lt;150,IF($D30*12&lt;IF(入力!$B$2="男",78,69),2,3),4)+IF(入力!$B$2="男",0,4)</f>
        <v>6</v>
      </c>
      <c r="AF30">
        <f t="shared" si="2"/>
        <v>-0.19258843491200006</v>
      </c>
      <c r="AG30">
        <f>IF($D30*12&lt;90,IF($D30*12&lt;26.75,IF($D30*12&lt;9.5,IF($D30*12&lt;2.5,2,3),4),5),6)+IF(入力!$B$2="男",0,6)+IF(AND(入力!$B$2&lt;&gt;"男",$D30*12&gt;=150),1,0)</f>
        <v>10</v>
      </c>
      <c r="AH30">
        <f t="shared" si="3"/>
        <v>15.439824648000002</v>
      </c>
      <c r="AI30">
        <f>IF(($D30*12)&lt;90,2,3)+IF(入力!$B$2="男",0,3)</f>
        <v>5</v>
      </c>
      <c r="AJ30">
        <f t="shared" si="4"/>
        <v>7.883111592E-2</v>
      </c>
      <c r="AK30">
        <f t="shared" si="7"/>
        <v>13.33993899219907</v>
      </c>
      <c r="AL30">
        <f t="shared" si="7"/>
        <v>13.969750153077852</v>
      </c>
      <c r="AM30">
        <f t="shared" si="7"/>
        <v>14.644279772135031</v>
      </c>
      <c r="AN30">
        <f t="shared" si="7"/>
        <v>15.439824648000002</v>
      </c>
      <c r="AO30">
        <f t="shared" si="7"/>
        <v>16.287453321542923</v>
      </c>
      <c r="AP30">
        <f t="shared" si="7"/>
        <v>17.098180773172864</v>
      </c>
      <c r="AQ30">
        <f t="shared" si="7"/>
        <v>17.946107074514931</v>
      </c>
    </row>
    <row r="31" spans="1:43" x14ac:dyDescent="0.15">
      <c r="A31">
        <v>2</v>
      </c>
      <c r="B31" s="2">
        <v>3</v>
      </c>
      <c r="D31" s="3">
        <f t="shared" si="6"/>
        <v>2.25</v>
      </c>
      <c r="F31">
        <f>IF(入力!$B$2="男",成長曲線_男!E29,成長曲線_女!E29)</f>
        <v>86.4</v>
      </c>
      <c r="G31">
        <f>IF(入力!$B$2="男",成長曲線_男!F29,成長曲線_女!F29)</f>
        <v>3</v>
      </c>
      <c r="H31">
        <f>IF(入力!$B$2="男",成長曲線_男!G29,成長曲線_女!G29)</f>
        <v>92.4</v>
      </c>
      <c r="I31">
        <f>IF(入力!$B$2="男",成長曲線_男!H29,成長曲線_女!H29)</f>
        <v>89.4</v>
      </c>
      <c r="J31">
        <f>IF(入力!$B$2="男",成長曲線_男!I29,成長曲線_女!I29)</f>
        <v>83.4</v>
      </c>
      <c r="K31">
        <f>IF(入力!$B$2="男",成長曲線_男!J29,成長曲線_女!J29)</f>
        <v>80.400000000000006</v>
      </c>
      <c r="L31">
        <f>IF(入力!$B$2="男",成長曲線_男!K29,成長曲線_女!K29)</f>
        <v>78.900000000000006</v>
      </c>
      <c r="M31">
        <f>IF(入力!$B$2="男",成長曲線_男!L29,成長曲線_女!L29)</f>
        <v>77.400000000000006</v>
      </c>
      <c r="O31">
        <f>IF(入力!$B$2="男",成長曲線_男!N29,成長曲線_女!N29)</f>
        <v>11.5</v>
      </c>
      <c r="P31">
        <f>IF(入力!$B$2="男",成長曲線_男!O29,成長曲線_女!O29)</f>
        <v>1.31</v>
      </c>
      <c r="Q31">
        <f>IF(入力!$B$2="男",成長曲線_男!P29,成長曲線_女!P29)</f>
        <v>14.120000000000001</v>
      </c>
      <c r="R31">
        <f>IF(入力!$B$2="男",成長曲線_男!Q29,成長曲線_女!Q29)</f>
        <v>12.81</v>
      </c>
      <c r="S31">
        <f>IF(入力!$B$2="男",成長曲線_男!R29,成長曲線_女!R29)</f>
        <v>10.19</v>
      </c>
      <c r="T31">
        <f>IF(入力!$B$2="男",成長曲線_男!S29,成長曲線_女!S29)</f>
        <v>8.879999999999999</v>
      </c>
      <c r="V31">
        <v>6.75</v>
      </c>
      <c r="W31">
        <f>IF(入力!$B$2="男",成長曲線_男!V29,成長曲線_女!V29)</f>
        <v>5.8</v>
      </c>
      <c r="X31">
        <f>IF(入力!$B$2="男",成長曲線_男!W29,成長曲線_女!W29)</f>
        <v>0.7</v>
      </c>
      <c r="Y31">
        <f>IF(入力!$B$2="男",成長曲線_男!X29,成長曲線_女!X29)</f>
        <v>7.1999999999999993</v>
      </c>
      <c r="Z31">
        <f>IF(入力!$B$2="男",成長曲線_男!Y29,成長曲線_女!Y29)</f>
        <v>6.5</v>
      </c>
      <c r="AA31">
        <f>IF(入力!$B$2="男",成長曲線_男!Z29,成長曲線_女!Z29)</f>
        <v>5.0999999999999996</v>
      </c>
      <c r="AB31">
        <f>IF(入力!$B$2="男",成長曲線_男!AA29,成長曲線_女!AA29)</f>
        <v>4.4000000000000004</v>
      </c>
      <c r="AE31">
        <f>IF($D31*12&lt;150,IF($D31*12&lt;IF(入力!$B$2="男",78,69),2,3),4)+IF(入力!$B$2="男",0,4)</f>
        <v>6</v>
      </c>
      <c r="AF31">
        <f t="shared" si="2"/>
        <v>-0.23075187382100004</v>
      </c>
      <c r="AG31">
        <f>IF($D31*12&lt;90,IF($D31*12&lt;26.75,IF($D31*12&lt;9.5,IF($D31*12&lt;2.5,2,3),4),5),6)+IF(入力!$B$2="男",0,6)+IF(AND(入力!$B$2&lt;&gt;"男",$D31*12&gt;=150),1,0)</f>
        <v>11</v>
      </c>
      <c r="AH31">
        <f t="shared" si="3"/>
        <v>15.425722447584999</v>
      </c>
      <c r="AI31">
        <f>IF(($D31*12)&lt;90,2,3)+IF(入力!$B$2="男",0,3)</f>
        <v>5</v>
      </c>
      <c r="AJ31">
        <f t="shared" si="4"/>
        <v>7.8921285960000004E-2</v>
      </c>
      <c r="AK31">
        <f t="shared" si="7"/>
        <v>13.330934274905344</v>
      </c>
      <c r="AL31">
        <f t="shared" si="7"/>
        <v>13.958057132673087</v>
      </c>
      <c r="AM31">
        <f t="shared" si="7"/>
        <v>14.630802743941043</v>
      </c>
      <c r="AN31">
        <f t="shared" si="7"/>
        <v>15.425722447584999</v>
      </c>
      <c r="AO31">
        <f t="shared" si="7"/>
        <v>16.274470206909548</v>
      </c>
      <c r="AP31">
        <f t="shared" si="7"/>
        <v>17.088010005597319</v>
      </c>
      <c r="AQ31">
        <f t="shared" si="7"/>
        <v>17.940714710471774</v>
      </c>
    </row>
    <row r="32" spans="1:43" x14ac:dyDescent="0.15">
      <c r="A32">
        <v>2</v>
      </c>
      <c r="B32" s="2">
        <v>4</v>
      </c>
      <c r="D32" s="3">
        <f t="shared" si="6"/>
        <v>2.3333333333333335</v>
      </c>
      <c r="F32">
        <f>IF(入力!$B$2="男",成長曲線_男!E30,成長曲線_女!E30)</f>
        <v>87.1</v>
      </c>
      <c r="G32">
        <f>IF(入力!$B$2="男",成長曲線_男!F30,成長曲線_女!F30)</f>
        <v>3.1</v>
      </c>
      <c r="H32">
        <f>IF(入力!$B$2="男",成長曲線_男!G30,成長曲線_女!G30)</f>
        <v>93.3</v>
      </c>
      <c r="I32">
        <f>IF(入力!$B$2="男",成長曲線_男!H30,成長曲線_女!H30)</f>
        <v>90.199999999999989</v>
      </c>
      <c r="J32">
        <f>IF(入力!$B$2="男",成長曲線_男!I30,成長曲線_女!I30)</f>
        <v>84</v>
      </c>
      <c r="K32">
        <f>IF(入力!$B$2="男",成長曲線_男!J30,成長曲線_女!J30)</f>
        <v>80.899999999999991</v>
      </c>
      <c r="L32">
        <f>IF(入力!$B$2="男",成長曲線_男!K30,成長曲線_女!K30)</f>
        <v>79.349999999999994</v>
      </c>
      <c r="M32">
        <f>IF(入力!$B$2="男",成長曲線_男!L30,成長曲線_女!L30)</f>
        <v>77.8</v>
      </c>
      <c r="O32">
        <f>IF(入力!$B$2="男",成長曲線_男!N30,成長曲線_女!N30)</f>
        <v>11.8</v>
      </c>
      <c r="P32">
        <f>IF(入力!$B$2="男",成長曲線_男!O30,成長曲線_女!O30)</f>
        <v>1.34</v>
      </c>
      <c r="Q32">
        <f>IF(入力!$B$2="男",成長曲線_男!P30,成長曲線_女!P30)</f>
        <v>14.48</v>
      </c>
      <c r="R32">
        <f>IF(入力!$B$2="男",成長曲線_男!Q30,成長曲線_女!Q30)</f>
        <v>13.14</v>
      </c>
      <c r="S32">
        <f>IF(入力!$B$2="男",成長曲線_男!R30,成長曲線_女!R30)</f>
        <v>10.46</v>
      </c>
      <c r="T32">
        <f>IF(入力!$B$2="男",成長曲線_男!S30,成長曲線_女!S30)</f>
        <v>9.120000000000001</v>
      </c>
      <c r="V32">
        <v>7</v>
      </c>
      <c r="W32">
        <f>IF(入力!$B$2="男",成長曲線_男!V30,成長曲線_女!V30)</f>
        <v>5.7</v>
      </c>
      <c r="X32">
        <f>IF(入力!$B$2="男",成長曲線_男!W30,成長曲線_女!W30)</f>
        <v>0.7</v>
      </c>
      <c r="Y32">
        <f>IF(入力!$B$2="男",成長曲線_男!X30,成長曲線_女!X30)</f>
        <v>7.1</v>
      </c>
      <c r="Z32">
        <f>IF(入力!$B$2="男",成長曲線_男!Y30,成長曲線_女!Y30)</f>
        <v>6.4</v>
      </c>
      <c r="AA32">
        <f>IF(入力!$B$2="男",成長曲線_男!Z30,成長曲線_女!Z30)</f>
        <v>5</v>
      </c>
      <c r="AB32">
        <f>IF(入力!$B$2="男",成長曲線_男!AA30,成長曲線_女!AA30)</f>
        <v>4.3000000000000007</v>
      </c>
      <c r="AE32">
        <f>IF($D32*12&lt;150,IF($D32*12&lt;IF(入力!$B$2="男",78,69),2,3),4)+IF(入力!$B$2="男",0,4)</f>
        <v>6</v>
      </c>
      <c r="AF32">
        <f t="shared" si="2"/>
        <v>-0.26890671442400016</v>
      </c>
      <c r="AG32">
        <f>IF($D32*12&lt;90,IF($D32*12&lt;26.75,IF($D32*12&lt;9.5,IF($D32*12&lt;2.5,2,3),4),5),6)+IF(入力!$B$2="男",0,6)+IF(AND(入力!$B$2&lt;&gt;"男",$D32*12&gt;=150),1,0)</f>
        <v>11</v>
      </c>
      <c r="AH32">
        <f t="shared" si="3"/>
        <v>15.41223988824</v>
      </c>
      <c r="AI32">
        <f>IF(($D32*12)&lt;90,2,3)+IF(入力!$B$2="男",0,3)</f>
        <v>5</v>
      </c>
      <c r="AJ32">
        <f t="shared" si="4"/>
        <v>7.904129704E-2</v>
      </c>
      <c r="AK32">
        <f t="shared" si="7"/>
        <v>13.321724757510747</v>
      </c>
      <c r="AL32">
        <f t="shared" si="7"/>
        <v>13.946401779822736</v>
      </c>
      <c r="AM32">
        <f t="shared" si="7"/>
        <v>14.617624825518604</v>
      </c>
      <c r="AN32">
        <f t="shared" si="7"/>
        <v>15.41223988824</v>
      </c>
      <c r="AO32">
        <f t="shared" si="7"/>
        <v>16.262476120272147</v>
      </c>
      <c r="AP32">
        <f t="shared" si="7"/>
        <v>17.079222418466504</v>
      </c>
      <c r="AQ32">
        <f t="shared" si="7"/>
        <v>17.937175568450492</v>
      </c>
    </row>
    <row r="33" spans="1:43" x14ac:dyDescent="0.15">
      <c r="A33">
        <v>2</v>
      </c>
      <c r="B33" s="2">
        <v>5</v>
      </c>
      <c r="D33" s="3">
        <f t="shared" si="6"/>
        <v>2.4166666666666665</v>
      </c>
      <c r="F33">
        <f>IF(入力!$B$2="男",成長曲線_男!E31,成長曲線_女!E31)</f>
        <v>87.7</v>
      </c>
      <c r="G33">
        <f>IF(入力!$B$2="男",成長曲線_男!F31,成長曲線_女!F31)</f>
        <v>3.1</v>
      </c>
      <c r="H33">
        <f>IF(入力!$B$2="男",成長曲線_男!G31,成長曲線_女!G31)</f>
        <v>93.9</v>
      </c>
      <c r="I33">
        <f>IF(入力!$B$2="男",成長曲線_男!H31,成長曲線_女!H31)</f>
        <v>90.8</v>
      </c>
      <c r="J33">
        <f>IF(入力!$B$2="男",成長曲線_男!I31,成長曲線_女!I31)</f>
        <v>84.600000000000009</v>
      </c>
      <c r="K33">
        <f>IF(入力!$B$2="男",成長曲線_男!J31,成長曲線_女!J31)</f>
        <v>81.5</v>
      </c>
      <c r="L33">
        <f>IF(入力!$B$2="男",成長曲線_男!K31,成長曲線_女!K31)</f>
        <v>79.95</v>
      </c>
      <c r="M33">
        <f>IF(入力!$B$2="男",成長曲線_男!L31,成長曲線_女!L31)</f>
        <v>78.400000000000006</v>
      </c>
      <c r="O33">
        <f>IF(入力!$B$2="男",成長曲線_男!N31,成長曲線_女!N31)</f>
        <v>12</v>
      </c>
      <c r="P33">
        <f>IF(入力!$B$2="男",成長曲線_男!O31,成長曲線_女!O31)</f>
        <v>1.36</v>
      </c>
      <c r="Q33">
        <f>IF(入力!$B$2="男",成長曲線_男!P31,成長曲線_女!P31)</f>
        <v>14.72</v>
      </c>
      <c r="R33">
        <f>IF(入力!$B$2="男",成長曲線_男!Q31,成長曲線_女!Q31)</f>
        <v>13.36</v>
      </c>
      <c r="S33">
        <f>IF(入力!$B$2="男",成長曲線_男!R31,成長曲線_女!R31)</f>
        <v>10.64</v>
      </c>
      <c r="T33">
        <f>IF(入力!$B$2="男",成長曲線_男!S31,成長曲線_女!S31)</f>
        <v>9.2799999999999994</v>
      </c>
      <c r="V33">
        <v>7.25</v>
      </c>
      <c r="W33">
        <f>IF(入力!$B$2="男",成長曲線_男!V31,成長曲線_女!V31)</f>
        <v>5.6</v>
      </c>
      <c r="X33">
        <f>IF(入力!$B$2="男",成長曲線_男!W31,成長曲線_女!W31)</f>
        <v>0.7</v>
      </c>
      <c r="Y33">
        <f>IF(入力!$B$2="男",成長曲線_男!X31,成長曲線_女!X31)</f>
        <v>7</v>
      </c>
      <c r="Z33">
        <f>IF(入力!$B$2="男",成長曲線_男!Y31,成長曲線_女!Y31)</f>
        <v>6.3</v>
      </c>
      <c r="AA33">
        <f>IF(入力!$B$2="男",成長曲線_男!Z31,成長曲線_女!Z31)</f>
        <v>4.8999999999999995</v>
      </c>
      <c r="AB33">
        <f>IF(入力!$B$2="男",成長曲線_男!AA31,成長曲線_女!AA31)</f>
        <v>4.1999999999999993</v>
      </c>
      <c r="AE33">
        <f>IF($D33*12&lt;150,IF($D33*12&lt;IF(入力!$B$2="男",78,69),2,3),4)+IF(入力!$B$2="男",0,4)</f>
        <v>6</v>
      </c>
      <c r="AF33">
        <f t="shared" si="2"/>
        <v>-0.30705087104300011</v>
      </c>
      <c r="AG33">
        <f>IF($D33*12&lt;90,IF($D33*12&lt;26.75,IF($D33*12&lt;9.5,IF($D33*12&lt;2.5,2,3),4),5),6)+IF(入力!$B$2="男",0,6)+IF(AND(入力!$B$2&lt;&gt;"男",$D33*12&gt;=150),1,0)</f>
        <v>11</v>
      </c>
      <c r="AH33">
        <f t="shared" si="3"/>
        <v>15.399376974054999</v>
      </c>
      <c r="AI33">
        <f>IF(($D33*12)&lt;90,2,3)+IF(入力!$B$2="男",0,3)</f>
        <v>5</v>
      </c>
      <c r="AJ33">
        <f t="shared" si="4"/>
        <v>7.9190536079999999E-2</v>
      </c>
      <c r="AK33">
        <f t="shared" si="7"/>
        <v>13.312338626017674</v>
      </c>
      <c r="AL33">
        <f t="shared" si="7"/>
        <v>13.934801849719738</v>
      </c>
      <c r="AM33">
        <f t="shared" si="7"/>
        <v>14.604754408822066</v>
      </c>
      <c r="AN33">
        <f t="shared" si="7"/>
        <v>15.399376974054999</v>
      </c>
      <c r="AO33">
        <f t="shared" si="7"/>
        <v>16.251465827833936</v>
      </c>
      <c r="AP33">
        <f t="shared" si="7"/>
        <v>17.071812119536851</v>
      </c>
      <c r="AQ33">
        <f t="shared" si="7"/>
        <v>17.935488718617162</v>
      </c>
    </row>
    <row r="34" spans="1:43" x14ac:dyDescent="0.15">
      <c r="A34">
        <v>2</v>
      </c>
      <c r="B34" s="2">
        <v>6</v>
      </c>
      <c r="D34" s="3">
        <f t="shared" si="6"/>
        <v>2.5</v>
      </c>
      <c r="F34">
        <f>IF(入力!$B$2="男",成長曲線_男!E32,成長曲線_女!E32)</f>
        <v>88.4</v>
      </c>
      <c r="G34">
        <f>IF(入力!$B$2="男",成長曲線_男!F32,成長曲線_女!F32)</f>
        <v>3.1</v>
      </c>
      <c r="H34">
        <f>IF(入力!$B$2="男",成長曲線_男!G32,成長曲線_女!G32)</f>
        <v>94.600000000000009</v>
      </c>
      <c r="I34">
        <f>IF(入力!$B$2="男",成長曲線_男!H32,成長曲線_女!H32)</f>
        <v>91.5</v>
      </c>
      <c r="J34">
        <f>IF(入力!$B$2="男",成長曲線_男!I32,成長曲線_女!I32)</f>
        <v>85.300000000000011</v>
      </c>
      <c r="K34">
        <f>IF(入力!$B$2="男",成長曲線_男!J32,成長曲線_女!J32)</f>
        <v>82.2</v>
      </c>
      <c r="L34">
        <f>IF(入力!$B$2="男",成長曲線_男!K32,成長曲線_女!K32)</f>
        <v>80.650000000000006</v>
      </c>
      <c r="M34">
        <f>IF(入力!$B$2="男",成長曲線_男!L32,成長曲線_女!L32)</f>
        <v>79.100000000000009</v>
      </c>
      <c r="O34">
        <f>IF(入力!$B$2="男",成長曲線_男!N32,成長曲線_女!N32)</f>
        <v>12.2</v>
      </c>
      <c r="P34">
        <f>IF(入力!$B$2="男",成長曲線_男!O32,成長曲線_女!O32)</f>
        <v>1.39</v>
      </c>
      <c r="Q34">
        <f>IF(入力!$B$2="男",成長曲線_男!P32,成長曲線_女!P32)</f>
        <v>14.979999999999999</v>
      </c>
      <c r="R34">
        <f>IF(入力!$B$2="男",成長曲線_男!Q32,成長曲線_女!Q32)</f>
        <v>13.59</v>
      </c>
      <c r="S34">
        <f>IF(入力!$B$2="男",成長曲線_男!R32,成長曲線_女!R32)</f>
        <v>10.809999999999999</v>
      </c>
      <c r="T34">
        <f>IF(入力!$B$2="男",成長曲線_男!S32,成長曲線_女!S32)</f>
        <v>9.42</v>
      </c>
      <c r="V34">
        <v>7.5</v>
      </c>
      <c r="W34">
        <f>IF(入力!$B$2="男",成長曲線_男!V32,成長曲線_女!V32)</f>
        <v>5.5</v>
      </c>
      <c r="X34">
        <f>IF(入力!$B$2="男",成長曲線_男!W32,成長曲線_女!W32)</f>
        <v>0.7</v>
      </c>
      <c r="Y34">
        <f>IF(入力!$B$2="男",成長曲線_男!X32,成長曲線_女!X32)</f>
        <v>6.9</v>
      </c>
      <c r="Z34">
        <f>IF(入力!$B$2="男",成長曲線_男!Y32,成長曲線_女!Y32)</f>
        <v>6.2</v>
      </c>
      <c r="AA34">
        <f>IF(入力!$B$2="男",成長曲線_男!Z32,成長曲線_女!Z32)</f>
        <v>4.8</v>
      </c>
      <c r="AB34">
        <f>IF(入力!$B$2="男",成長曲線_男!AA32,成長曲線_女!AA32)</f>
        <v>4.0999999999999996</v>
      </c>
      <c r="AE34">
        <f>IF($D34*12&lt;150,IF($D34*12&lt;IF(入力!$B$2="男",78,69),2,3),4)+IF(入力!$B$2="男",0,4)</f>
        <v>6</v>
      </c>
      <c r="AF34">
        <f t="shared" si="2"/>
        <v>-0.34518225800000024</v>
      </c>
      <c r="AG34">
        <f>IF($D34*12&lt;90,IF($D34*12&lt;26.75,IF($D34*12&lt;9.5,IF($D34*12&lt;2.5,2,3),4),5),6)+IF(入力!$B$2="男",0,6)+IF(AND(入力!$B$2&lt;&gt;"男",$D34*12&gt;=150),1,0)</f>
        <v>11</v>
      </c>
      <c r="AH34">
        <f t="shared" si="3"/>
        <v>15.387130825</v>
      </c>
      <c r="AI34">
        <f>IF(($D34*12)&lt;90,2,3)+IF(入力!$B$2="男",0,3)</f>
        <v>5</v>
      </c>
      <c r="AJ34">
        <f t="shared" si="4"/>
        <v>7.9368390000000011E-2</v>
      </c>
      <c r="AK34">
        <f t="shared" si="7"/>
        <v>13.302800966504121</v>
      </c>
      <c r="AL34">
        <f t="shared" si="7"/>
        <v>13.92327216773673</v>
      </c>
      <c r="AM34">
        <f t="shared" si="7"/>
        <v>14.592197024336899</v>
      </c>
      <c r="AN34">
        <f t="shared" si="7"/>
        <v>15.387130825</v>
      </c>
      <c r="AO34">
        <f t="shared" si="7"/>
        <v>16.24143114293539</v>
      </c>
      <c r="AP34">
        <f t="shared" si="7"/>
        <v>17.065770257917471</v>
      </c>
      <c r="AQ34">
        <f t="shared" si="7"/>
        <v>17.935650472943081</v>
      </c>
    </row>
    <row r="35" spans="1:43" x14ac:dyDescent="0.15">
      <c r="A35">
        <v>2</v>
      </c>
      <c r="B35" s="2">
        <v>7</v>
      </c>
      <c r="D35" s="3">
        <f t="shared" si="6"/>
        <v>2.5833333333333335</v>
      </c>
      <c r="F35">
        <f>IF(入力!$B$2="男",成長曲線_男!E33,成長曲線_女!E33)</f>
        <v>89</v>
      </c>
      <c r="G35">
        <f>IF(入力!$B$2="男",成長曲線_男!F33,成長曲線_女!F33)</f>
        <v>3.2</v>
      </c>
      <c r="H35">
        <f>IF(入力!$B$2="男",成長曲線_男!G33,成長曲線_女!G33)</f>
        <v>95.4</v>
      </c>
      <c r="I35">
        <f>IF(入力!$B$2="男",成長曲線_男!H33,成長曲線_女!H33)</f>
        <v>92.2</v>
      </c>
      <c r="J35">
        <f>IF(入力!$B$2="男",成長曲線_男!I33,成長曲線_女!I33)</f>
        <v>85.8</v>
      </c>
      <c r="K35">
        <f>IF(入力!$B$2="男",成長曲線_男!J33,成長曲線_女!J33)</f>
        <v>82.6</v>
      </c>
      <c r="L35">
        <f>IF(入力!$B$2="男",成長曲線_男!K33,成長曲線_女!K33)</f>
        <v>81</v>
      </c>
      <c r="M35">
        <f>IF(入力!$B$2="男",成長曲線_男!L33,成長曲線_女!L33)</f>
        <v>79.400000000000006</v>
      </c>
      <c r="O35">
        <f>IF(入力!$B$2="男",成長曲線_男!N33,成長曲線_女!N33)</f>
        <v>12.3</v>
      </c>
      <c r="P35">
        <f>IF(入力!$B$2="男",成長曲線_男!O33,成長曲線_女!O33)</f>
        <v>1.41</v>
      </c>
      <c r="Q35">
        <f>IF(入力!$B$2="男",成長曲線_男!P33,成長曲線_女!P33)</f>
        <v>15.120000000000001</v>
      </c>
      <c r="R35">
        <f>IF(入力!$B$2="男",成長曲線_男!Q33,成長曲線_女!Q33)</f>
        <v>13.71</v>
      </c>
      <c r="S35">
        <f>IF(入力!$B$2="男",成長曲線_男!R33,成長曲線_女!R33)</f>
        <v>10.89</v>
      </c>
      <c r="T35">
        <f>IF(入力!$B$2="男",成長曲線_男!S33,成長曲線_女!S33)</f>
        <v>9.48</v>
      </c>
      <c r="V35">
        <v>7.75</v>
      </c>
      <c r="W35">
        <f>IF(入力!$B$2="男",成長曲線_男!V33,成長曲線_女!V33)</f>
        <v>5.4</v>
      </c>
      <c r="X35">
        <f>IF(入力!$B$2="男",成長曲線_男!W33,成長曲線_女!W33)</f>
        <v>0.8</v>
      </c>
      <c r="Y35">
        <f>IF(入力!$B$2="男",成長曲線_男!X33,成長曲線_女!X33)</f>
        <v>7</v>
      </c>
      <c r="Z35">
        <f>IF(入力!$B$2="男",成長曲線_男!Y33,成長曲線_女!Y33)</f>
        <v>6.2</v>
      </c>
      <c r="AA35">
        <f>IF(入力!$B$2="男",成長曲線_男!Z33,成長曲線_女!Z33)</f>
        <v>4.6000000000000005</v>
      </c>
      <c r="AB35">
        <f>IF(入力!$B$2="男",成長曲線_男!AA33,成長曲線_女!AA33)</f>
        <v>3.8000000000000003</v>
      </c>
      <c r="AE35">
        <f>IF($D35*12&lt;150,IF($D35*12&lt;IF(入力!$B$2="男",78,69),2,3),4)+IF(入力!$B$2="男",0,4)</f>
        <v>6</v>
      </c>
      <c r="AF35">
        <f t="shared" si="2"/>
        <v>-0.38329878961700004</v>
      </c>
      <c r="AG35">
        <f>IF($D35*12&lt;90,IF($D35*12&lt;26.75,IF($D35*12&lt;9.5,IF($D35*12&lt;2.5,2,3),4),5),6)+IF(入力!$B$2="男",0,6)+IF(AND(入力!$B$2&lt;&gt;"男",$D35*12&gt;=150),1,0)</f>
        <v>11</v>
      </c>
      <c r="AH35">
        <f t="shared" si="3"/>
        <v>15.375498561044999</v>
      </c>
      <c r="AI35">
        <f>IF(($D35*12)&lt;90,2,3)+IF(入力!$B$2="男",0,3)</f>
        <v>5</v>
      </c>
      <c r="AJ35">
        <f t="shared" si="4"/>
        <v>7.9574245720000006E-2</v>
      </c>
      <c r="AK35">
        <f t="shared" si="7"/>
        <v>13.293136279739578</v>
      </c>
      <c r="AL35">
        <f t="shared" si="7"/>
        <v>13.91182725066103</v>
      </c>
      <c r="AM35">
        <f t="shared" si="7"/>
        <v>14.579958081211597</v>
      </c>
      <c r="AN35">
        <f t="shared" si="7"/>
        <v>15.375498561044999</v>
      </c>
      <c r="AO35">
        <f t="shared" si="7"/>
        <v>16.232363967439422</v>
      </c>
      <c r="AP35">
        <f t="shared" si="7"/>
        <v>17.061088222819382</v>
      </c>
      <c r="AQ35">
        <f t="shared" si="7"/>
        <v>17.937657765143616</v>
      </c>
    </row>
    <row r="36" spans="1:43" x14ac:dyDescent="0.15">
      <c r="A36">
        <v>2</v>
      </c>
      <c r="B36" s="2">
        <v>8</v>
      </c>
      <c r="D36" s="3">
        <f t="shared" si="6"/>
        <v>2.6666666666666665</v>
      </c>
      <c r="F36">
        <f>IF(入力!$B$2="男",成長曲線_男!E34,成長曲線_女!E34)</f>
        <v>89.6</v>
      </c>
      <c r="G36">
        <f>IF(入力!$B$2="男",成長曲線_男!F34,成長曲線_女!F34)</f>
        <v>3.2</v>
      </c>
      <c r="H36">
        <f>IF(入力!$B$2="男",成長曲線_男!G34,成長曲線_女!G34)</f>
        <v>96</v>
      </c>
      <c r="I36">
        <f>IF(入力!$B$2="男",成長曲線_男!H34,成長曲線_女!H34)</f>
        <v>92.8</v>
      </c>
      <c r="J36">
        <f>IF(入力!$B$2="男",成長曲線_男!I34,成長曲線_女!I34)</f>
        <v>86.399999999999991</v>
      </c>
      <c r="K36">
        <f>IF(入力!$B$2="男",成長曲線_男!J34,成長曲線_女!J34)</f>
        <v>83.199999999999989</v>
      </c>
      <c r="L36">
        <f>IF(入力!$B$2="男",成長曲線_男!K34,成長曲線_女!K34)</f>
        <v>81.599999999999994</v>
      </c>
      <c r="M36">
        <f>IF(入力!$B$2="男",成長曲線_男!L34,成長曲線_女!L34)</f>
        <v>80</v>
      </c>
      <c r="O36">
        <f>IF(入力!$B$2="男",成長曲線_男!N34,成長曲線_女!N34)</f>
        <v>12.5</v>
      </c>
      <c r="P36">
        <f>IF(入力!$B$2="男",成長曲線_男!O34,成長曲線_女!O34)</f>
        <v>1.44</v>
      </c>
      <c r="Q36">
        <f>IF(入力!$B$2="男",成長曲線_男!P34,成長曲線_女!P34)</f>
        <v>15.379999999999999</v>
      </c>
      <c r="R36">
        <f>IF(入力!$B$2="男",成長曲線_男!Q34,成長曲線_女!Q34)</f>
        <v>13.94</v>
      </c>
      <c r="S36">
        <f>IF(入力!$B$2="男",成長曲線_男!R34,成長曲線_女!R34)</f>
        <v>11.06</v>
      </c>
      <c r="T36">
        <f>IF(入力!$B$2="男",成長曲線_男!S34,成長曲線_女!S34)</f>
        <v>9.620000000000001</v>
      </c>
      <c r="V36">
        <v>8</v>
      </c>
      <c r="W36">
        <f>IF(入力!$B$2="男",成長曲線_男!V34,成長曲線_女!V34)</f>
        <v>5.4</v>
      </c>
      <c r="X36">
        <f>IF(入力!$B$2="男",成長曲線_男!W34,成長曲線_女!W34)</f>
        <v>0.8</v>
      </c>
      <c r="Y36">
        <f>IF(入力!$B$2="男",成長曲線_男!X34,成長曲線_女!X34)</f>
        <v>7</v>
      </c>
      <c r="Z36">
        <f>IF(入力!$B$2="男",成長曲線_男!Y34,成長曲線_女!Y34)</f>
        <v>6.2</v>
      </c>
      <c r="AA36">
        <f>IF(入力!$B$2="男",成長曲線_男!Z34,成長曲線_女!Z34)</f>
        <v>4.6000000000000005</v>
      </c>
      <c r="AB36">
        <f>IF(入力!$B$2="男",成長曲線_男!AA34,成長曲線_女!AA34)</f>
        <v>3.8000000000000003</v>
      </c>
      <c r="AE36">
        <f>IF($D36*12&lt;150,IF($D36*12&lt;IF(入力!$B$2="男",78,69),2,3),4)+IF(入力!$B$2="男",0,4)</f>
        <v>6</v>
      </c>
      <c r="AF36">
        <f t="shared" si="2"/>
        <v>-0.42139838021600007</v>
      </c>
      <c r="AG36">
        <f>IF($D36*12&lt;90,IF($D36*12&lt;26.75,IF($D36*12&lt;9.5,IF($D36*12&lt;2.5,2,3),4),5),6)+IF(入力!$B$2="男",0,6)+IF(AND(入力!$B$2&lt;&gt;"男",$D36*12&gt;=150),1,0)</f>
        <v>11</v>
      </c>
      <c r="AH36">
        <f t="shared" si="3"/>
        <v>15.364477302159999</v>
      </c>
      <c r="AI36">
        <f>IF(($D36*12)&lt;90,2,3)+IF(入力!$B$2="男",0,3)</f>
        <v>5</v>
      </c>
      <c r="AJ36">
        <f t="shared" si="4"/>
        <v>7.9807490160000008E-2</v>
      </c>
      <c r="AK36">
        <f t="shared" si="7"/>
        <v>13.283368501679822</v>
      </c>
      <c r="AL36">
        <f t="shared" si="7"/>
        <v>13.90048131737332</v>
      </c>
      <c r="AM36">
        <f t="shared" si="7"/>
        <v>14.568042871579973</v>
      </c>
      <c r="AN36">
        <f t="shared" si="7"/>
        <v>15.364477302159999</v>
      </c>
      <c r="AO36">
        <f t="shared" si="7"/>
        <v>16.224256290455031</v>
      </c>
      <c r="AP36">
        <f t="shared" si="7"/>
        <v>17.057757647865618</v>
      </c>
      <c r="AQ36">
        <f t="shared" si="7"/>
        <v>17.941508178235285</v>
      </c>
    </row>
    <row r="37" spans="1:43" x14ac:dyDescent="0.15">
      <c r="A37">
        <v>2</v>
      </c>
      <c r="B37" s="2">
        <v>9</v>
      </c>
      <c r="D37" s="3">
        <f t="shared" si="6"/>
        <v>2.75</v>
      </c>
      <c r="F37">
        <f>IF(入力!$B$2="男",成長曲線_男!E35,成長曲線_女!E35)</f>
        <v>90.3</v>
      </c>
      <c r="G37">
        <f>IF(入力!$B$2="男",成長曲線_男!F35,成長曲線_女!F35)</f>
        <v>3.3</v>
      </c>
      <c r="H37">
        <f>IF(入力!$B$2="男",成長曲線_男!G35,成長曲線_女!G35)</f>
        <v>96.899999999999991</v>
      </c>
      <c r="I37">
        <f>IF(入力!$B$2="男",成長曲線_男!H35,成長曲線_女!H35)</f>
        <v>93.6</v>
      </c>
      <c r="J37">
        <f>IF(入力!$B$2="男",成長曲線_男!I35,成長曲線_女!I35)</f>
        <v>87</v>
      </c>
      <c r="K37">
        <f>IF(入力!$B$2="男",成長曲線_男!J35,成長曲線_女!J35)</f>
        <v>83.7</v>
      </c>
      <c r="L37">
        <f>IF(入力!$B$2="男",成長曲線_男!K35,成長曲線_女!K35)</f>
        <v>82.05</v>
      </c>
      <c r="M37">
        <f>IF(入力!$B$2="男",成長曲線_男!L35,成長曲線_女!L35)</f>
        <v>80.400000000000006</v>
      </c>
      <c r="O37">
        <f>IF(入力!$B$2="男",成長曲線_男!N35,成長曲線_女!N35)</f>
        <v>12.7</v>
      </c>
      <c r="P37">
        <f>IF(入力!$B$2="男",成長曲線_男!O35,成長曲線_女!O35)</f>
        <v>1.46</v>
      </c>
      <c r="Q37">
        <f>IF(入力!$B$2="男",成長曲線_男!P35,成長曲線_女!P35)</f>
        <v>15.62</v>
      </c>
      <c r="R37">
        <f>IF(入力!$B$2="男",成長曲線_男!Q35,成長曲線_女!Q35)</f>
        <v>14.16</v>
      </c>
      <c r="S37">
        <f>IF(入力!$B$2="男",成長曲線_男!R35,成長曲線_女!R35)</f>
        <v>11.239999999999998</v>
      </c>
      <c r="T37">
        <f>IF(入力!$B$2="男",成長曲線_男!S35,成長曲線_女!S35)</f>
        <v>9.7799999999999994</v>
      </c>
      <c r="V37">
        <v>8.25</v>
      </c>
      <c r="W37">
        <f>IF(入力!$B$2="男",成長曲線_男!V35,成長曲線_女!V35)</f>
        <v>5.3</v>
      </c>
      <c r="X37">
        <f>IF(入力!$B$2="男",成長曲線_男!W35,成長曲線_女!W35)</f>
        <v>0.8</v>
      </c>
      <c r="Y37">
        <f>IF(入力!$B$2="男",成長曲線_男!X35,成長曲線_女!X35)</f>
        <v>6.9</v>
      </c>
      <c r="Z37">
        <f>IF(入力!$B$2="男",成長曲線_男!Y35,成長曲線_女!Y35)</f>
        <v>6.1</v>
      </c>
      <c r="AA37">
        <f>IF(入力!$B$2="男",成長曲線_男!Z35,成長曲線_女!Z35)</f>
        <v>4.5</v>
      </c>
      <c r="AB37">
        <f>IF(入力!$B$2="男",成長曲線_男!AA35,成長曲線_女!AA35)</f>
        <v>3.6999999999999997</v>
      </c>
      <c r="AE37">
        <f>IF($D37*12&lt;150,IF($D37*12&lt;IF(入力!$B$2="男",78,69),2,3),4)+IF(入力!$B$2="男",0,4)</f>
        <v>6</v>
      </c>
      <c r="AF37">
        <f t="shared" si="2"/>
        <v>-0.45947894411900025</v>
      </c>
      <c r="AG37">
        <f>IF($D37*12&lt;90,IF($D37*12&lt;26.75,IF($D37*12&lt;9.5,IF($D37*12&lt;2.5,2,3),4),5),6)+IF(入力!$B$2="男",0,6)+IF(AND(入力!$B$2&lt;&gt;"男",$D37*12&gt;=150),1,0)</f>
        <v>11</v>
      </c>
      <c r="AH37">
        <f t="shared" si="3"/>
        <v>15.354064168315</v>
      </c>
      <c r="AI37">
        <f>IF(($D37*12)&lt;90,2,3)+IF(入力!$B$2="男",0,3)</f>
        <v>5</v>
      </c>
      <c r="AJ37">
        <f t="shared" si="4"/>
        <v>8.006751024E-2</v>
      </c>
      <c r="AK37">
        <f t="shared" si="7"/>
        <v>13.273521021878718</v>
      </c>
      <c r="AL37">
        <f t="shared" si="7"/>
        <v>13.889248298548759</v>
      </c>
      <c r="AM37">
        <f t="shared" si="7"/>
        <v>14.556456574601338</v>
      </c>
      <c r="AN37">
        <f t="shared" si="7"/>
        <v>15.354064168315</v>
      </c>
      <c r="AO37">
        <f t="shared" si="7"/>
        <v>16.217100186858104</v>
      </c>
      <c r="AP37">
        <f t="shared" si="7"/>
        <v>17.055770414870601</v>
      </c>
      <c r="AQ37">
        <f t="shared" si="7"/>
        <v>17.947199972075644</v>
      </c>
    </row>
    <row r="38" spans="1:43" x14ac:dyDescent="0.15">
      <c r="A38">
        <v>2</v>
      </c>
      <c r="B38" s="2">
        <v>10</v>
      </c>
      <c r="D38" s="3">
        <f t="shared" si="6"/>
        <v>2.8333333333333335</v>
      </c>
      <c r="F38">
        <f>IF(入力!$B$2="男",成長曲線_男!E36,成長曲線_女!E36)</f>
        <v>90.9</v>
      </c>
      <c r="G38">
        <f>IF(入力!$B$2="男",成長曲線_男!F36,成長曲線_女!F36)</f>
        <v>3.3</v>
      </c>
      <c r="H38">
        <f>IF(入力!$B$2="男",成長曲線_男!G36,成長曲線_女!G36)</f>
        <v>97.5</v>
      </c>
      <c r="I38">
        <f>IF(入力!$B$2="男",成長曲線_男!H36,成長曲線_女!H36)</f>
        <v>94.2</v>
      </c>
      <c r="J38">
        <f>IF(入力!$B$2="男",成長曲線_男!I36,成長曲線_女!I36)</f>
        <v>87.600000000000009</v>
      </c>
      <c r="K38">
        <f>IF(入力!$B$2="男",成長曲線_男!J36,成長曲線_女!J36)</f>
        <v>84.300000000000011</v>
      </c>
      <c r="L38">
        <f>IF(入力!$B$2="男",成長曲線_男!K36,成長曲線_女!K36)</f>
        <v>82.65</v>
      </c>
      <c r="M38">
        <f>IF(入力!$B$2="男",成長曲線_男!L36,成長曲線_女!L36)</f>
        <v>81</v>
      </c>
      <c r="O38">
        <f>IF(入力!$B$2="男",成長曲線_男!N36,成長曲線_女!N36)</f>
        <v>12.8</v>
      </c>
      <c r="P38">
        <f>IF(入力!$B$2="男",成長曲線_男!O36,成長曲線_女!O36)</f>
        <v>1.5</v>
      </c>
      <c r="Q38">
        <f>IF(入力!$B$2="男",成長曲線_男!P36,成長曲線_女!P36)</f>
        <v>15.8</v>
      </c>
      <c r="R38">
        <f>IF(入力!$B$2="男",成長曲線_男!Q36,成長曲線_女!Q36)</f>
        <v>14.3</v>
      </c>
      <c r="S38">
        <f>IF(入力!$B$2="男",成長曲線_男!R36,成長曲線_女!R36)</f>
        <v>11.3</v>
      </c>
      <c r="T38">
        <f>IF(入力!$B$2="男",成長曲線_男!S36,成長曲線_女!S36)</f>
        <v>9.8000000000000007</v>
      </c>
      <c r="V38">
        <v>8.5</v>
      </c>
      <c r="W38">
        <f>IF(入力!$B$2="男",成長曲線_男!V36,成長曲線_女!V36)</f>
        <v>5.3</v>
      </c>
      <c r="X38">
        <f>IF(入力!$B$2="男",成長曲線_男!W36,成長曲線_女!W36)</f>
        <v>0.8</v>
      </c>
      <c r="Y38">
        <f>IF(入力!$B$2="男",成長曲線_男!X36,成長曲線_女!X36)</f>
        <v>6.9</v>
      </c>
      <c r="Z38">
        <f>IF(入力!$B$2="男",成長曲線_男!Y36,成長曲線_女!Y36)</f>
        <v>6.1</v>
      </c>
      <c r="AA38">
        <f>IF(入力!$B$2="男",成長曲線_男!Z36,成長曲線_女!Z36)</f>
        <v>4.5</v>
      </c>
      <c r="AB38">
        <f>IF(入力!$B$2="男",成長曲線_男!AA36,成長曲線_女!AA36)</f>
        <v>3.6999999999999997</v>
      </c>
      <c r="AE38">
        <f>IF($D38*12&lt;150,IF($D38*12&lt;IF(入力!$B$2="男",78,69),2,3),4)+IF(入力!$B$2="男",0,4)</f>
        <v>6</v>
      </c>
      <c r="AF38">
        <f t="shared" si="2"/>
        <v>-0.49753839564800006</v>
      </c>
      <c r="AG38">
        <f>IF($D38*12&lt;90,IF($D38*12&lt;26.75,IF($D38*12&lt;9.5,IF($D38*12&lt;2.5,2,3),4),5),6)+IF(入力!$B$2="男",0,6)+IF(AND(入力!$B$2&lt;&gt;"男",$D38*12&gt;=150),1,0)</f>
        <v>11</v>
      </c>
      <c r="AH38">
        <f t="shared" si="3"/>
        <v>15.34425627948</v>
      </c>
      <c r="AI38">
        <f>IF(($D38*12)&lt;90,2,3)+IF(入力!$B$2="男",0,3)</f>
        <v>5</v>
      </c>
      <c r="AJ38">
        <f t="shared" si="4"/>
        <v>8.0353692880000008E-2</v>
      </c>
      <c r="AK38">
        <f t="shared" si="7"/>
        <v>13.263616699979815</v>
      </c>
      <c r="AL38">
        <f t="shared" si="7"/>
        <v>13.878141845442775</v>
      </c>
      <c r="AM38">
        <f t="shared" si="7"/>
        <v>14.545204260231966</v>
      </c>
      <c r="AN38">
        <f t="shared" si="7"/>
        <v>15.34425627948</v>
      </c>
      <c r="AO38">
        <f t="shared" si="7"/>
        <v>16.210887815613606</v>
      </c>
      <c r="AP38">
        <f t="shared" si="7"/>
        <v>17.055118657100586</v>
      </c>
      <c r="AQ38">
        <f t="shared" si="7"/>
        <v>17.954732110968852</v>
      </c>
    </row>
    <row r="39" spans="1:43" x14ac:dyDescent="0.15">
      <c r="A39">
        <v>2</v>
      </c>
      <c r="B39" s="2">
        <v>11</v>
      </c>
      <c r="D39" s="3">
        <f t="shared" si="6"/>
        <v>2.9166666666666665</v>
      </c>
      <c r="F39">
        <f>IF(入力!$B$2="男",成長曲線_男!E37,成長曲線_女!E37)</f>
        <v>91.6</v>
      </c>
      <c r="G39">
        <f>IF(入力!$B$2="男",成長曲線_男!F37,成長曲線_女!F37)</f>
        <v>3.3</v>
      </c>
      <c r="H39">
        <f>IF(入力!$B$2="男",成長曲線_男!G37,成長曲線_女!G37)</f>
        <v>98.199999999999989</v>
      </c>
      <c r="I39">
        <f>IF(入力!$B$2="男",成長曲線_男!H37,成長曲線_女!H37)</f>
        <v>94.899999999999991</v>
      </c>
      <c r="J39">
        <f>IF(入力!$B$2="男",成長曲線_男!I37,成長曲線_女!I37)</f>
        <v>88.3</v>
      </c>
      <c r="K39">
        <f>IF(入力!$B$2="男",成長曲線_男!J37,成長曲線_女!J37)</f>
        <v>85</v>
      </c>
      <c r="L39">
        <f>IF(入力!$B$2="男",成長曲線_男!K37,成長曲線_女!K37)</f>
        <v>83.35</v>
      </c>
      <c r="M39">
        <f>IF(入力!$B$2="男",成長曲線_男!L37,成長曲線_女!L37)</f>
        <v>81.699999999999989</v>
      </c>
      <c r="O39">
        <f>IF(入力!$B$2="男",成長曲線_男!N37,成長曲線_女!N37)</f>
        <v>13</v>
      </c>
      <c r="P39">
        <f>IF(入力!$B$2="男",成長曲線_男!O37,成長曲線_女!O37)</f>
        <v>1.53</v>
      </c>
      <c r="Q39">
        <f>IF(入力!$B$2="男",成長曲線_男!P37,成長曲線_女!P37)</f>
        <v>16.059999999999999</v>
      </c>
      <c r="R39">
        <f>IF(入力!$B$2="男",成長曲線_男!Q37,成長曲線_女!Q37)</f>
        <v>14.53</v>
      </c>
      <c r="S39">
        <f>IF(入力!$B$2="男",成長曲線_男!R37,成長曲線_女!R37)</f>
        <v>11.47</v>
      </c>
      <c r="T39">
        <f>IF(入力!$B$2="男",成長曲線_男!S37,成長曲線_女!S37)</f>
        <v>9.94</v>
      </c>
      <c r="V39">
        <v>8.75</v>
      </c>
      <c r="W39">
        <f>IF(入力!$B$2="男",成長曲線_男!V37,成長曲線_女!V37)</f>
        <v>5.3</v>
      </c>
      <c r="X39">
        <f>IF(入力!$B$2="男",成長曲線_男!W37,成長曲線_女!W37)</f>
        <v>0.8</v>
      </c>
      <c r="Y39">
        <f>IF(入力!$B$2="男",成長曲線_男!X37,成長曲線_女!X37)</f>
        <v>6.9</v>
      </c>
      <c r="Z39">
        <f>IF(入力!$B$2="男",成長曲線_男!Y37,成長曲線_女!Y37)</f>
        <v>6.1</v>
      </c>
      <c r="AA39">
        <f>IF(入力!$B$2="男",成長曲線_男!Z37,成長曲線_女!Z37)</f>
        <v>4.5</v>
      </c>
      <c r="AB39">
        <f>IF(入力!$B$2="男",成長曲線_男!AA37,成長曲線_女!AA37)</f>
        <v>3.6999999999999997</v>
      </c>
      <c r="AE39">
        <f>IF($D39*12&lt;150,IF($D39*12&lt;IF(入力!$B$2="男",78,69),2,3),4)+IF(入力!$B$2="男",0,4)</f>
        <v>6</v>
      </c>
      <c r="AF39">
        <f t="shared" si="2"/>
        <v>-0.53557464912500008</v>
      </c>
      <c r="AG39">
        <f>IF($D39*12&lt;90,IF($D39*12&lt;26.75,IF($D39*12&lt;9.5,IF($D39*12&lt;2.5,2,3),4),5),6)+IF(入力!$B$2="男",0,6)+IF(AND(入力!$B$2&lt;&gt;"男",$D39*12&gt;=150),1,0)</f>
        <v>11</v>
      </c>
      <c r="AH39">
        <f t="shared" si="3"/>
        <v>15.335050755625</v>
      </c>
      <c r="AI39">
        <f>IF(($D39*12)&lt;90,2,3)+IF(入力!$B$2="男",0,3)</f>
        <v>5</v>
      </c>
      <c r="AJ39">
        <f t="shared" si="4"/>
        <v>8.0665424999999999E-2</v>
      </c>
      <c r="AK39">
        <f t="shared" si="7"/>
        <v>13.253677880442758</v>
      </c>
      <c r="AL39">
        <f t="shared" si="7"/>
        <v>13.867175337821946</v>
      </c>
      <c r="AM39">
        <f t="shared" si="7"/>
        <v>14.534290892740497</v>
      </c>
      <c r="AN39">
        <f t="shared" si="7"/>
        <v>15.335050755625</v>
      </c>
      <c r="AO39">
        <f t="shared" si="7"/>
        <v>16.205611417902848</v>
      </c>
      <c r="AP39">
        <f t="shared" si="7"/>
        <v>17.055794762026153</v>
      </c>
      <c r="AQ39">
        <f t="shared" si="7"/>
        <v>17.964104291424253</v>
      </c>
    </row>
    <row r="40" spans="1:43" x14ac:dyDescent="0.15">
      <c r="A40">
        <f>A28+1</f>
        <v>3</v>
      </c>
      <c r="B40" s="2">
        <v>0</v>
      </c>
      <c r="D40" s="3">
        <f t="shared" si="6"/>
        <v>3</v>
      </c>
      <c r="F40">
        <f>IF(入力!$B$2="男",成長曲線_男!E38,成長曲線_女!E38)</f>
        <v>92.2</v>
      </c>
      <c r="G40">
        <f>IF(入力!$B$2="男",成長曲線_男!F38,成長曲線_女!F38)</f>
        <v>3.4</v>
      </c>
      <c r="H40">
        <f>IF(入力!$B$2="男",成長曲線_男!G38,成長曲線_女!G38)</f>
        <v>99</v>
      </c>
      <c r="I40">
        <f>IF(入力!$B$2="男",成長曲線_男!H38,成長曲線_女!H38)</f>
        <v>95.600000000000009</v>
      </c>
      <c r="J40">
        <f>IF(入力!$B$2="男",成長曲線_男!I38,成長曲線_女!I38)</f>
        <v>88.8</v>
      </c>
      <c r="K40">
        <f>IF(入力!$B$2="男",成長曲線_男!J38,成長曲線_女!J38)</f>
        <v>85.4</v>
      </c>
      <c r="L40">
        <f>IF(入力!$B$2="男",成長曲線_男!K38,成長曲線_女!K38)</f>
        <v>83.7</v>
      </c>
      <c r="M40">
        <f>IF(入力!$B$2="男",成長曲線_男!L38,成長曲線_女!L38)</f>
        <v>82</v>
      </c>
      <c r="O40">
        <f>IF(入力!$B$2="男",成長曲線_男!N38,成長曲線_女!N38)</f>
        <v>13.1</v>
      </c>
      <c r="P40">
        <f>IF(入力!$B$2="男",成長曲線_男!O38,成長曲線_女!O38)</f>
        <v>1.57</v>
      </c>
      <c r="Q40">
        <f>IF(入力!$B$2="男",成長曲線_男!P38,成長曲線_女!P38)</f>
        <v>16.239999999999998</v>
      </c>
      <c r="R40">
        <f>IF(入力!$B$2="男",成長曲線_男!Q38,成長曲線_女!Q38)</f>
        <v>14.67</v>
      </c>
      <c r="S40">
        <f>IF(入力!$B$2="男",成長曲線_男!R38,成長曲線_女!R38)</f>
        <v>11.53</v>
      </c>
      <c r="T40">
        <f>IF(入力!$B$2="男",成長曲線_男!S38,成長曲線_女!S38)</f>
        <v>9.9599999999999991</v>
      </c>
      <c r="V40">
        <v>9</v>
      </c>
      <c r="W40">
        <f>IF(入力!$B$2="男",成長曲線_男!V38,成長曲線_女!V38)</f>
        <v>5.4</v>
      </c>
      <c r="X40">
        <f>IF(入力!$B$2="男",成長曲線_男!W38,成長曲線_女!W38)</f>
        <v>0.8</v>
      </c>
      <c r="Y40">
        <f>IF(入力!$B$2="男",成長曲線_男!X38,成長曲線_女!X38)</f>
        <v>7</v>
      </c>
      <c r="Z40">
        <f>IF(入力!$B$2="男",成長曲線_男!Y38,成長曲線_女!Y38)</f>
        <v>6.2</v>
      </c>
      <c r="AA40">
        <f>IF(入力!$B$2="男",成長曲線_男!Z38,成長曲線_女!Z38)</f>
        <v>4.6000000000000005</v>
      </c>
      <c r="AB40">
        <f>IF(入力!$B$2="男",成長曲線_男!AA38,成長曲線_女!AA38)</f>
        <v>3.8000000000000003</v>
      </c>
      <c r="AE40">
        <f>IF($D40*12&lt;150,IF($D40*12&lt;IF(入力!$B$2="男",78,69),2,3),4)+IF(入力!$B$2="男",0,4)</f>
        <v>6</v>
      </c>
      <c r="AF40">
        <f t="shared" si="2"/>
        <v>-0.57358561887199999</v>
      </c>
      <c r="AG40">
        <f>IF($D40*12&lt;90,IF($D40*12&lt;26.75,IF($D40*12&lt;9.5,IF($D40*12&lt;2.5,2,3),4),5),6)+IF(入力!$B$2="男",0,6)+IF(AND(入力!$B$2&lt;&gt;"男",$D40*12&gt;=150),1,0)</f>
        <v>11</v>
      </c>
      <c r="AH40">
        <f t="shared" si="3"/>
        <v>15.326444716719999</v>
      </c>
      <c r="AI40">
        <f>IF(($D40*12)&lt;90,2,3)+IF(入力!$B$2="男",0,3)</f>
        <v>5</v>
      </c>
      <c r="AJ40">
        <f t="shared" si="4"/>
        <v>8.1002093520000013E-2</v>
      </c>
      <c r="AK40">
        <f t="shared" si="7"/>
        <v>13.243726405651948</v>
      </c>
      <c r="AL40">
        <f t="shared" si="7"/>
        <v>13.8563618910978</v>
      </c>
      <c r="AM40">
        <f t="shared" si="7"/>
        <v>14.523721333979871</v>
      </c>
      <c r="AN40">
        <f t="shared" si="7"/>
        <v>15.326444716719999</v>
      </c>
      <c r="AO40">
        <f t="shared" si="7"/>
        <v>16.201263315059453</v>
      </c>
      <c r="AP40">
        <f t="shared" si="7"/>
        <v>17.057791373577476</v>
      </c>
      <c r="AQ40">
        <f t="shared" si="7"/>
        <v>17.97531697016035</v>
      </c>
    </row>
    <row r="41" spans="1:43" x14ac:dyDescent="0.15">
      <c r="A41">
        <f t="shared" ref="A41:A104" si="8">A29+1</f>
        <v>3</v>
      </c>
      <c r="B41" s="2">
        <v>1</v>
      </c>
      <c r="D41" s="3">
        <f t="shared" si="6"/>
        <v>3.0833333333333335</v>
      </c>
      <c r="F41">
        <f>IF(入力!$B$2="男",成長曲線_男!E39,成長曲線_女!E39)</f>
        <v>92.8</v>
      </c>
      <c r="G41">
        <f>IF(入力!$B$2="男",成長曲線_男!F39,成長曲線_女!F39)</f>
        <v>3.4</v>
      </c>
      <c r="H41">
        <f>IF(入力!$B$2="男",成長曲線_男!G39,成長曲線_女!G39)</f>
        <v>99.6</v>
      </c>
      <c r="I41">
        <f>IF(入力!$B$2="男",成長曲線_男!H39,成長曲線_女!H39)</f>
        <v>96.2</v>
      </c>
      <c r="J41">
        <f>IF(入力!$B$2="男",成長曲線_男!I39,成長曲線_女!I39)</f>
        <v>89.399999999999991</v>
      </c>
      <c r="K41">
        <f>IF(入力!$B$2="男",成長曲線_男!J39,成長曲線_女!J39)</f>
        <v>86</v>
      </c>
      <c r="L41">
        <f>IF(入力!$B$2="男",成長曲線_男!K39,成長曲線_女!K39)</f>
        <v>84.3</v>
      </c>
      <c r="M41">
        <f>IF(入力!$B$2="男",成長曲線_男!L39,成長曲線_女!L39)</f>
        <v>82.6</v>
      </c>
      <c r="O41">
        <f>IF(入力!$B$2="男",成長曲線_男!N39,成長曲線_女!N39)</f>
        <v>13.3</v>
      </c>
      <c r="P41">
        <f>IF(入力!$B$2="男",成長曲線_男!O39,成長曲線_女!O39)</f>
        <v>1.61</v>
      </c>
      <c r="Q41">
        <f>IF(入力!$B$2="男",成長曲線_男!P39,成長曲線_女!P39)</f>
        <v>16.52</v>
      </c>
      <c r="R41">
        <f>IF(入力!$B$2="男",成長曲線_男!Q39,成長曲線_女!Q39)</f>
        <v>14.91</v>
      </c>
      <c r="S41">
        <f>IF(入力!$B$2="男",成長曲線_男!R39,成長曲線_女!R39)</f>
        <v>11.690000000000001</v>
      </c>
      <c r="T41">
        <f>IF(入力!$B$2="男",成長曲線_男!S39,成長曲線_女!S39)</f>
        <v>10.08</v>
      </c>
      <c r="V41">
        <v>9.25</v>
      </c>
      <c r="W41">
        <f>IF(入力!$B$2="男",成長曲線_男!V39,成長曲線_女!V39)</f>
        <v>5.4</v>
      </c>
      <c r="X41">
        <f>IF(入力!$B$2="男",成長曲線_男!W39,成長曲線_女!W39)</f>
        <v>0.8</v>
      </c>
      <c r="Y41">
        <f>IF(入力!$B$2="男",成長曲線_男!X39,成長曲線_女!X39)</f>
        <v>7</v>
      </c>
      <c r="Z41">
        <f>IF(入力!$B$2="男",成長曲線_男!Y39,成長曲線_女!Y39)</f>
        <v>6.2</v>
      </c>
      <c r="AA41">
        <f>IF(入力!$B$2="男",成長曲線_男!Z39,成長曲線_女!Z39)</f>
        <v>4.6000000000000005</v>
      </c>
      <c r="AB41">
        <f>IF(入力!$B$2="男",成長曲線_男!AA39,成長曲線_女!AA39)</f>
        <v>3.8000000000000003</v>
      </c>
      <c r="AE41">
        <f>IF($D41*12&lt;150,IF($D41*12&lt;IF(入力!$B$2="男",78,69),2,3),4)+IF(入力!$B$2="男",0,4)</f>
        <v>6</v>
      </c>
      <c r="AF41">
        <f t="shared" si="2"/>
        <v>-0.61156921921100016</v>
      </c>
      <c r="AG41">
        <f>IF($D41*12&lt;90,IF($D41*12&lt;26.75,IF($D41*12&lt;9.5,IF($D41*12&lt;2.5,2,3),4),5),6)+IF(入力!$B$2="男",0,6)+IF(AND(入力!$B$2&lt;&gt;"男",$D41*12&gt;=150),1,0)</f>
        <v>11</v>
      </c>
      <c r="AH41">
        <f t="shared" si="3"/>
        <v>15.318435282734999</v>
      </c>
      <c r="AI41">
        <f>IF(($D41*12)&lt;90,2,3)+IF(入力!$B$2="男",0,3)</f>
        <v>5</v>
      </c>
      <c r="AJ41">
        <f t="shared" si="4"/>
        <v>8.1363085360000004E-2</v>
      </c>
      <c r="AK41">
        <f t="shared" si="7"/>
        <v>13.23378362754813</v>
      </c>
      <c r="AL41">
        <f t="shared" si="7"/>
        <v>13.845714362719832</v>
      </c>
      <c r="AM41">
        <f t="shared" si="7"/>
        <v>14.513500346428071</v>
      </c>
      <c r="AN41">
        <f t="shared" si="7"/>
        <v>15.318435282734999</v>
      </c>
      <c r="AO41">
        <f t="shared" si="7"/>
        <v>16.197835906317518</v>
      </c>
      <c r="AP41">
        <f t="shared" si="7"/>
        <v>17.061101393912182</v>
      </c>
      <c r="AQ41">
        <f t="shared" si="7"/>
        <v>17.988371392451445</v>
      </c>
    </row>
    <row r="42" spans="1:43" x14ac:dyDescent="0.15">
      <c r="A42">
        <f t="shared" si="8"/>
        <v>3</v>
      </c>
      <c r="B42" s="2">
        <v>2</v>
      </c>
      <c r="D42" s="3">
        <f t="shared" si="6"/>
        <v>3.1666666666666665</v>
      </c>
      <c r="F42">
        <f>IF(入力!$B$2="男",成長曲線_男!E40,成長曲線_女!E40)</f>
        <v>93.5</v>
      </c>
      <c r="G42">
        <f>IF(入力!$B$2="男",成長曲線_男!F40,成長曲線_女!F40)</f>
        <v>3.4</v>
      </c>
      <c r="H42">
        <f>IF(入力!$B$2="男",成長曲線_男!G40,成長曲線_女!G40)</f>
        <v>100.3</v>
      </c>
      <c r="I42">
        <f>IF(入力!$B$2="男",成長曲線_男!H40,成長曲線_女!H40)</f>
        <v>96.9</v>
      </c>
      <c r="J42">
        <f>IF(入力!$B$2="男",成長曲線_男!I40,成長曲線_女!I40)</f>
        <v>90.1</v>
      </c>
      <c r="K42">
        <f>IF(入力!$B$2="男",成長曲線_男!J40,成長曲線_女!J40)</f>
        <v>86.7</v>
      </c>
      <c r="L42">
        <f>IF(入力!$B$2="男",成長曲線_男!K40,成長曲線_女!K40)</f>
        <v>85</v>
      </c>
      <c r="M42">
        <f>IF(入力!$B$2="男",成長曲線_男!L40,成長曲線_女!L40)</f>
        <v>83.3</v>
      </c>
      <c r="O42">
        <f>IF(入力!$B$2="男",成長曲線_男!N40,成長曲線_女!N40)</f>
        <v>13.4</v>
      </c>
      <c r="P42">
        <f>IF(入力!$B$2="男",成長曲線_男!O40,成長曲線_女!O40)</f>
        <v>1.64</v>
      </c>
      <c r="Q42">
        <f>IF(入力!$B$2="男",成長曲線_男!P40,成長曲線_女!P40)</f>
        <v>16.68</v>
      </c>
      <c r="R42">
        <f>IF(入力!$B$2="男",成長曲線_男!Q40,成長曲線_女!Q40)</f>
        <v>15.040000000000001</v>
      </c>
      <c r="S42">
        <f>IF(入力!$B$2="男",成長曲線_男!R40,成長曲線_女!R40)</f>
        <v>11.76</v>
      </c>
      <c r="T42">
        <f>IF(入力!$B$2="男",成長曲線_男!S40,成長曲線_女!S40)</f>
        <v>10.120000000000001</v>
      </c>
      <c r="V42">
        <v>9.5</v>
      </c>
      <c r="W42">
        <f>IF(入力!$B$2="男",成長曲線_男!V40,成長曲線_女!V40)</f>
        <v>5.6</v>
      </c>
      <c r="X42">
        <f>IF(入力!$B$2="男",成長曲線_男!W40,成長曲線_女!W40)</f>
        <v>0.8</v>
      </c>
      <c r="Y42">
        <f>IF(入力!$B$2="男",成長曲線_男!X40,成長曲線_女!X40)</f>
        <v>7.1999999999999993</v>
      </c>
      <c r="Z42">
        <f>IF(入力!$B$2="男",成長曲線_男!Y40,成長曲線_女!Y40)</f>
        <v>6.3999999999999995</v>
      </c>
      <c r="AA42">
        <f>IF(入力!$B$2="男",成長曲線_男!Z40,成長曲線_女!Z40)</f>
        <v>4.8</v>
      </c>
      <c r="AB42">
        <f>IF(入力!$B$2="男",成長曲線_男!AA40,成長曲線_女!AA40)</f>
        <v>3.9999999999999996</v>
      </c>
      <c r="AE42">
        <f>IF($D42*12&lt;150,IF($D42*12&lt;IF(入力!$B$2="男",78,69),2,3),4)+IF(入力!$B$2="男",0,4)</f>
        <v>6</v>
      </c>
      <c r="AF42">
        <f t="shared" si="2"/>
        <v>-0.64952336446400027</v>
      </c>
      <c r="AG42">
        <f>IF($D42*12&lt;90,IF($D42*12&lt;26.75,IF($D42*12&lt;9.5,IF($D42*12&lt;2.5,2,3),4),5),6)+IF(入力!$B$2="男",0,6)+IF(AND(入力!$B$2&lt;&gt;"男",$D42*12&gt;=150),1,0)</f>
        <v>11</v>
      </c>
      <c r="AH42">
        <f t="shared" si="3"/>
        <v>15.311019573639999</v>
      </c>
      <c r="AI42">
        <f>IF(($D42*12)&lt;90,2,3)+IF(入力!$B$2="男",0,3)</f>
        <v>5</v>
      </c>
      <c r="AJ42">
        <f t="shared" si="4"/>
        <v>8.1747787439999997E-2</v>
      </c>
      <c r="AK42">
        <f t="shared" si="7"/>
        <v>13.223870417917167</v>
      </c>
      <c r="AL42">
        <f t="shared" si="7"/>
        <v>13.835245357881846</v>
      </c>
      <c r="AM42">
        <f t="shared" si="7"/>
        <v>14.503632596009593</v>
      </c>
      <c r="AN42">
        <f t="shared" si="7"/>
        <v>15.311019573639999</v>
      </c>
      <c r="AO42">
        <f t="shared" si="7"/>
        <v>16.195321666375097</v>
      </c>
      <c r="AP42">
        <f t="shared" si="7"/>
        <v>17.065717984704925</v>
      </c>
      <c r="AQ42">
        <f t="shared" si="7"/>
        <v>18.003269620919138</v>
      </c>
    </row>
    <row r="43" spans="1:43" x14ac:dyDescent="0.15">
      <c r="A43">
        <f t="shared" si="8"/>
        <v>3</v>
      </c>
      <c r="B43" s="2">
        <v>3</v>
      </c>
      <c r="D43" s="3">
        <f t="shared" si="6"/>
        <v>3.25</v>
      </c>
      <c r="F43">
        <f>IF(入力!$B$2="男",成長曲線_男!E41,成長曲線_女!E41)</f>
        <v>94.1</v>
      </c>
      <c r="G43">
        <f>IF(入力!$B$2="男",成長曲線_男!F41,成長曲線_女!F41)</f>
        <v>3.5</v>
      </c>
      <c r="H43">
        <f>IF(入力!$B$2="男",成長曲線_男!G41,成長曲線_女!G41)</f>
        <v>101.1</v>
      </c>
      <c r="I43">
        <f>IF(入力!$B$2="男",成長曲線_男!H41,成長曲線_女!H41)</f>
        <v>97.6</v>
      </c>
      <c r="J43">
        <f>IF(入力!$B$2="男",成長曲線_男!I41,成長曲線_女!I41)</f>
        <v>90.6</v>
      </c>
      <c r="K43">
        <f>IF(入力!$B$2="男",成長曲線_男!J41,成長曲線_女!J41)</f>
        <v>87.1</v>
      </c>
      <c r="L43">
        <f>IF(入力!$B$2="男",成長曲線_男!K41,成長曲線_女!K41)</f>
        <v>85.35</v>
      </c>
      <c r="M43">
        <f>IF(入力!$B$2="男",成長曲線_男!L41,成長曲線_女!L41)</f>
        <v>83.6</v>
      </c>
      <c r="O43">
        <f>IF(入力!$B$2="男",成長曲線_男!N41,成長曲線_女!N41)</f>
        <v>13.6</v>
      </c>
      <c r="P43">
        <f>IF(入力!$B$2="男",成長曲線_男!O41,成長曲線_女!O41)</f>
        <v>1.68</v>
      </c>
      <c r="Q43">
        <f>IF(入力!$B$2="男",成長曲線_男!P41,成長曲線_女!P41)</f>
        <v>16.96</v>
      </c>
      <c r="R43">
        <f>IF(入力!$B$2="男",成長曲線_男!Q41,成長曲線_女!Q41)</f>
        <v>15.28</v>
      </c>
      <c r="S43">
        <f>IF(入力!$B$2="男",成長曲線_男!R41,成長曲線_女!R41)</f>
        <v>11.92</v>
      </c>
      <c r="T43">
        <f>IF(入力!$B$2="男",成長曲線_男!S41,成長曲線_女!S41)</f>
        <v>10.24</v>
      </c>
      <c r="V43">
        <v>9.75</v>
      </c>
      <c r="W43">
        <f>IF(入力!$B$2="男",成長曲線_男!V41,成長曲線_女!V41)</f>
        <v>5.9</v>
      </c>
      <c r="X43">
        <f>IF(入力!$B$2="男",成長曲線_男!W41,成長曲線_女!W41)</f>
        <v>0.8</v>
      </c>
      <c r="Y43">
        <f>IF(入力!$B$2="男",成長曲線_男!X41,成長曲線_女!X41)</f>
        <v>7.5</v>
      </c>
      <c r="Z43">
        <f>IF(入力!$B$2="男",成長曲線_男!Y41,成長曲線_女!Y41)</f>
        <v>6.7</v>
      </c>
      <c r="AA43">
        <f>IF(入力!$B$2="男",成長曲線_男!Z41,成長曲線_女!Z41)</f>
        <v>5.1000000000000005</v>
      </c>
      <c r="AB43">
        <f>IF(入力!$B$2="男",成長曲線_男!AA41,成長曲線_女!AA41)</f>
        <v>4.3000000000000007</v>
      </c>
      <c r="AE43">
        <f>IF($D43*12&lt;150,IF($D43*12&lt;IF(入力!$B$2="男",78,69),2,3),4)+IF(入力!$B$2="男",0,4)</f>
        <v>6</v>
      </c>
      <c r="AF43">
        <f t="shared" si="2"/>
        <v>-0.68744596895300003</v>
      </c>
      <c r="AG43">
        <f>IF($D43*12&lt;90,IF($D43*12&lt;26.75,IF($D43*12&lt;9.5,IF($D43*12&lt;2.5,2,3),4),5),6)+IF(入力!$B$2="男",0,6)+IF(AND(入力!$B$2&lt;&gt;"男",$D43*12&gt;=150),1,0)</f>
        <v>11</v>
      </c>
      <c r="AH43">
        <f t="shared" si="3"/>
        <v>15.304194709404999</v>
      </c>
      <c r="AI43">
        <f>IF(($D43*12)&lt;90,2,3)+IF(入力!$B$2="男",0,3)</f>
        <v>5</v>
      </c>
      <c r="AJ43">
        <f t="shared" si="4"/>
        <v>8.2155586680000003E-2</v>
      </c>
      <c r="AK43">
        <f t="shared" si="7"/>
        <v>13.214007177463872</v>
      </c>
      <c r="AL43">
        <f t="shared" si="7"/>
        <v>13.824967234594286</v>
      </c>
      <c r="AM43">
        <f t="shared" si="7"/>
        <v>14.494122654709408</v>
      </c>
      <c r="AN43">
        <f t="shared" si="7"/>
        <v>15.304194709404999</v>
      </c>
      <c r="AO43">
        <f t="shared" si="7"/>
        <v>16.193713142776037</v>
      </c>
      <c r="AP43">
        <f t="shared" si="7"/>
        <v>17.071634567966711</v>
      </c>
      <c r="AQ43">
        <f t="shared" si="7"/>
        <v>18.020014564876046</v>
      </c>
    </row>
    <row r="44" spans="1:43" x14ac:dyDescent="0.15">
      <c r="A44">
        <f t="shared" si="8"/>
        <v>3</v>
      </c>
      <c r="B44" s="2">
        <v>4</v>
      </c>
      <c r="D44" s="3">
        <f t="shared" si="6"/>
        <v>3.3333333333333335</v>
      </c>
      <c r="F44">
        <f>IF(入力!$B$2="男",成長曲線_男!E42,成長曲線_女!E42)</f>
        <v>94.7</v>
      </c>
      <c r="G44">
        <f>IF(入力!$B$2="男",成長曲線_男!F42,成長曲線_女!F42)</f>
        <v>3.5</v>
      </c>
      <c r="H44">
        <f>IF(入力!$B$2="男",成長曲線_男!G42,成長曲線_女!G42)</f>
        <v>101.7</v>
      </c>
      <c r="I44">
        <f>IF(入力!$B$2="男",成長曲線_男!H42,成長曲線_女!H42)</f>
        <v>98.2</v>
      </c>
      <c r="J44">
        <f>IF(入力!$B$2="男",成長曲線_男!I42,成長曲線_女!I42)</f>
        <v>91.2</v>
      </c>
      <c r="K44">
        <f>IF(入力!$B$2="男",成長曲線_男!J42,成長曲線_女!J42)</f>
        <v>87.7</v>
      </c>
      <c r="L44">
        <f>IF(入力!$B$2="男",成長曲線_男!K42,成長曲線_女!K42)</f>
        <v>85.95</v>
      </c>
      <c r="M44">
        <f>IF(入力!$B$2="男",成長曲線_男!L42,成長曲線_女!L42)</f>
        <v>84.2</v>
      </c>
      <c r="O44">
        <f>IF(入力!$B$2="男",成長曲線_男!N42,成長曲線_女!N42)</f>
        <v>13.8</v>
      </c>
      <c r="P44">
        <f>IF(入力!$B$2="男",成長曲線_男!O42,成長曲線_女!O42)</f>
        <v>1.68</v>
      </c>
      <c r="Q44">
        <f>IF(入力!$B$2="男",成長曲線_男!P42,成長曲線_女!P42)</f>
        <v>17.16</v>
      </c>
      <c r="R44">
        <f>IF(入力!$B$2="男",成長曲線_男!Q42,成長曲線_女!Q42)</f>
        <v>15.48</v>
      </c>
      <c r="S44">
        <f>IF(入力!$B$2="男",成長曲線_男!R42,成長曲線_女!R42)</f>
        <v>12.120000000000001</v>
      </c>
      <c r="T44">
        <f>IF(入力!$B$2="男",成長曲線_男!S42,成長曲線_女!S42)</f>
        <v>10.440000000000001</v>
      </c>
      <c r="V44">
        <v>10</v>
      </c>
      <c r="W44">
        <f>IF(入力!$B$2="男",成長曲線_男!V42,成長曲線_女!V42)</f>
        <v>6.3</v>
      </c>
      <c r="X44">
        <f>IF(入力!$B$2="男",成長曲線_男!W42,成長曲線_女!W42)</f>
        <v>0.8</v>
      </c>
      <c r="Y44">
        <f>IF(入力!$B$2="男",成長曲線_男!X42,成長曲線_女!X42)</f>
        <v>7.9</v>
      </c>
      <c r="Z44">
        <f>IF(入力!$B$2="男",成長曲線_男!Y42,成長曲線_女!Y42)</f>
        <v>7.1</v>
      </c>
      <c r="AA44">
        <f>IF(入力!$B$2="男",成長曲線_男!Z42,成長曲線_女!Z42)</f>
        <v>5.5</v>
      </c>
      <c r="AB44">
        <f>IF(入力!$B$2="男",成長曲線_男!AA42,成長曲線_女!AA42)</f>
        <v>4.6999999999999993</v>
      </c>
      <c r="AE44">
        <f>IF($D44*12&lt;150,IF($D44*12&lt;IF(入力!$B$2="男",78,69),2,3),4)+IF(入力!$B$2="男",0,4)</f>
        <v>6</v>
      </c>
      <c r="AF44">
        <f t="shared" si="2"/>
        <v>-0.72533494700000023</v>
      </c>
      <c r="AG44">
        <f>IF($D44*12&lt;90,IF($D44*12&lt;26.75,IF($D44*12&lt;9.5,IF($D44*12&lt;2.5,2,3),4),5),6)+IF(入力!$B$2="男",0,6)+IF(AND(入力!$B$2&lt;&gt;"男",$D44*12&gt;=150),1,0)</f>
        <v>11</v>
      </c>
      <c r="AH44">
        <f t="shared" si="3"/>
        <v>15.29795781</v>
      </c>
      <c r="AI44">
        <f>IF(($D44*12)&lt;90,2,3)+IF(入力!$B$2="男",0,3)</f>
        <v>5</v>
      </c>
      <c r="AJ44">
        <f t="shared" si="4"/>
        <v>8.2585870000000006E-2</v>
      </c>
      <c r="AK44">
        <f t="shared" si="7"/>
        <v>13.204213843793113</v>
      </c>
      <c r="AL44">
        <f t="shared" si="7"/>
        <v>13.814892108173233</v>
      </c>
      <c r="AM44">
        <f t="shared" si="7"/>
        <v>14.484975002990897</v>
      </c>
      <c r="AN44">
        <f t="shared" si="7"/>
        <v>15.29795781</v>
      </c>
      <c r="AO44">
        <f t="shared" si="7"/>
        <v>16.193002953112853</v>
      </c>
      <c r="AP44">
        <f t="shared" si="7"/>
        <v>17.078844826400839</v>
      </c>
      <c r="AQ44">
        <f t="shared" si="7"/>
        <v>18.038610010334434</v>
      </c>
    </row>
    <row r="45" spans="1:43" x14ac:dyDescent="0.15">
      <c r="A45">
        <f t="shared" si="8"/>
        <v>3</v>
      </c>
      <c r="B45" s="2">
        <v>5</v>
      </c>
      <c r="D45" s="3">
        <f t="shared" si="6"/>
        <v>3.4166666666666665</v>
      </c>
      <c r="F45">
        <f>IF(入力!$B$2="男",成長曲線_男!E43,成長曲線_女!E43)</f>
        <v>95.3</v>
      </c>
      <c r="G45">
        <f>IF(入力!$B$2="男",成長曲線_男!F43,成長曲線_女!F43)</f>
        <v>3.5</v>
      </c>
      <c r="H45">
        <f>IF(入力!$B$2="男",成長曲線_男!G43,成長曲線_女!G43)</f>
        <v>102.3</v>
      </c>
      <c r="I45">
        <f>IF(入力!$B$2="男",成長曲線_男!H43,成長曲線_女!H43)</f>
        <v>98.8</v>
      </c>
      <c r="J45">
        <f>IF(入力!$B$2="男",成長曲線_男!I43,成長曲線_女!I43)</f>
        <v>91.8</v>
      </c>
      <c r="K45">
        <f>IF(入力!$B$2="男",成長曲線_男!J43,成長曲線_女!J43)</f>
        <v>88.3</v>
      </c>
      <c r="L45">
        <f>IF(入力!$B$2="男",成長曲線_男!K43,成長曲線_女!K43)</f>
        <v>86.55</v>
      </c>
      <c r="M45">
        <f>IF(入力!$B$2="男",成長曲線_男!L43,成長曲線_女!L43)</f>
        <v>84.8</v>
      </c>
      <c r="O45">
        <f>IF(入力!$B$2="男",成長曲線_男!N43,成長曲線_女!N43)</f>
        <v>13.9</v>
      </c>
      <c r="P45">
        <f>IF(入力!$B$2="男",成長曲線_男!O43,成長曲線_女!O43)</f>
        <v>1.68</v>
      </c>
      <c r="Q45">
        <f>IF(入力!$B$2="男",成長曲線_男!P43,成長曲線_女!P43)</f>
        <v>17.260000000000002</v>
      </c>
      <c r="R45">
        <f>IF(入力!$B$2="男",成長曲線_男!Q43,成長曲線_女!Q43)</f>
        <v>15.58</v>
      </c>
      <c r="S45">
        <f>IF(入力!$B$2="男",成長曲線_男!R43,成長曲線_女!R43)</f>
        <v>12.22</v>
      </c>
      <c r="T45">
        <f>IF(入力!$B$2="男",成長曲線_男!S43,成長曲線_女!S43)</f>
        <v>10.540000000000001</v>
      </c>
      <c r="V45">
        <v>10.25</v>
      </c>
      <c r="W45">
        <f>IF(入力!$B$2="男",成長曲線_男!V43,成長曲線_女!V43)</f>
        <v>6.7</v>
      </c>
      <c r="X45">
        <f>IF(入力!$B$2="男",成長曲線_男!W43,成長曲線_女!W43)</f>
        <v>0.8</v>
      </c>
      <c r="Y45">
        <f>IF(入力!$B$2="男",成長曲線_男!X43,成長曲線_女!X43)</f>
        <v>8.3000000000000007</v>
      </c>
      <c r="Z45">
        <f>IF(入力!$B$2="男",成長曲線_男!Y43,成長曲線_女!Y43)</f>
        <v>7.5</v>
      </c>
      <c r="AA45">
        <f>IF(入力!$B$2="男",成長曲線_男!Z43,成長曲線_女!Z43)</f>
        <v>5.9</v>
      </c>
      <c r="AB45">
        <f>IF(入力!$B$2="男",成長曲線_男!AA43,成長曲線_女!AA43)</f>
        <v>5.0999999999999996</v>
      </c>
      <c r="AE45">
        <f>IF($D45*12&lt;150,IF($D45*12&lt;IF(入力!$B$2="男",78,69),2,3),4)+IF(入力!$B$2="男",0,4)</f>
        <v>6</v>
      </c>
      <c r="AF45">
        <f t="shared" si="2"/>
        <v>-0.76318821292700012</v>
      </c>
      <c r="AG45">
        <f>IF($D45*12&lt;90,IF($D45*12&lt;26.75,IF($D45*12&lt;9.5,IF($D45*12&lt;2.5,2,3),4),5),6)+IF(入力!$B$2="男",0,6)+IF(AND(入力!$B$2&lt;&gt;"男",$D45*12&gt;=150),1,0)</f>
        <v>11</v>
      </c>
      <c r="AH45">
        <f t="shared" si="3"/>
        <v>15.292305995394999</v>
      </c>
      <c r="AI45">
        <f>IF(($D45*12)&lt;90,2,3)+IF(入力!$B$2="男",0,3)</f>
        <v>5</v>
      </c>
      <c r="AJ45">
        <f t="shared" si="4"/>
        <v>8.3038024320000015E-2</v>
      </c>
      <c r="AK45">
        <f t="shared" si="7"/>
        <v>13.194509898414553</v>
      </c>
      <c r="AL45">
        <f t="shared" si="7"/>
        <v>13.805031855195329</v>
      </c>
      <c r="AM45">
        <f t="shared" si="7"/>
        <v>14.476194032029051</v>
      </c>
      <c r="AN45">
        <f t="shared" si="7"/>
        <v>15.292305995394999</v>
      </c>
      <c r="AO45">
        <f t="shared" si="7"/>
        <v>16.193183782053151</v>
      </c>
      <c r="AP45">
        <f t="shared" si="7"/>
        <v>17.0873427033012</v>
      </c>
      <c r="AQ45">
        <f t="shared" si="7"/>
        <v>18.059060650797942</v>
      </c>
    </row>
    <row r="46" spans="1:43" x14ac:dyDescent="0.15">
      <c r="A46">
        <f t="shared" si="8"/>
        <v>3</v>
      </c>
      <c r="B46" s="2">
        <v>6</v>
      </c>
      <c r="D46" s="3">
        <f t="shared" si="6"/>
        <v>3.5</v>
      </c>
      <c r="F46">
        <f>IF(入力!$B$2="男",成長曲線_男!E44,成長曲線_女!E44)</f>
        <v>95.9</v>
      </c>
      <c r="G46">
        <f>IF(入力!$B$2="男",成長曲線_男!F44,成長曲線_女!F44)</f>
        <v>3.6</v>
      </c>
      <c r="H46">
        <f>IF(入力!$B$2="男",成長曲線_男!G44,成長曲線_女!G44)</f>
        <v>103.10000000000001</v>
      </c>
      <c r="I46">
        <f>IF(入力!$B$2="男",成長曲線_男!H44,成長曲線_女!H44)</f>
        <v>99.5</v>
      </c>
      <c r="J46">
        <f>IF(入力!$B$2="男",成長曲線_男!I44,成長曲線_女!I44)</f>
        <v>92.300000000000011</v>
      </c>
      <c r="K46">
        <f>IF(入力!$B$2="男",成長曲線_男!J44,成長曲線_女!J44)</f>
        <v>88.7</v>
      </c>
      <c r="L46">
        <f>IF(入力!$B$2="男",成長曲線_男!K44,成長曲線_女!K44)</f>
        <v>86.9</v>
      </c>
      <c r="M46">
        <f>IF(入力!$B$2="男",成長曲線_男!L44,成長曲線_女!L44)</f>
        <v>85.100000000000009</v>
      </c>
      <c r="O46">
        <f>IF(入力!$B$2="男",成長曲線_男!N44,成長曲線_女!N44)</f>
        <v>14.1</v>
      </c>
      <c r="P46">
        <f>IF(入力!$B$2="男",成長曲線_男!O44,成長曲線_女!O44)</f>
        <v>1.68</v>
      </c>
      <c r="Q46">
        <f>IF(入力!$B$2="男",成長曲線_男!P44,成長曲線_女!P44)</f>
        <v>17.46</v>
      </c>
      <c r="R46">
        <f>IF(入力!$B$2="男",成長曲線_男!Q44,成長曲線_女!Q44)</f>
        <v>15.78</v>
      </c>
      <c r="S46">
        <f>IF(入力!$B$2="男",成長曲線_男!R44,成長曲線_女!R44)</f>
        <v>12.42</v>
      </c>
      <c r="T46">
        <f>IF(入力!$B$2="男",成長曲線_男!S44,成長曲線_女!S44)</f>
        <v>10.74</v>
      </c>
      <c r="V46">
        <v>10.5</v>
      </c>
      <c r="W46">
        <f>IF(入力!$B$2="男",成長曲線_男!V44,成長曲線_女!V44)</f>
        <v>7.3</v>
      </c>
      <c r="X46">
        <f>IF(入力!$B$2="男",成長曲線_男!W44,成長曲線_女!W44)</f>
        <v>0.9</v>
      </c>
      <c r="Y46">
        <f>IF(入力!$B$2="男",成長曲線_男!X44,成長曲線_女!X44)</f>
        <v>9.1</v>
      </c>
      <c r="Z46">
        <f>IF(入力!$B$2="男",成長曲線_男!Y44,成長曲線_女!Y44)</f>
        <v>8.1999999999999993</v>
      </c>
      <c r="AA46">
        <f>IF(入力!$B$2="男",成長曲線_男!Z44,成長曲線_女!Z44)</f>
        <v>6.3999999999999995</v>
      </c>
      <c r="AB46">
        <f>IF(入力!$B$2="男",成長曲線_男!AA44,成長曲線_女!AA44)</f>
        <v>5.5</v>
      </c>
      <c r="AE46">
        <f>IF($D46*12&lt;150,IF($D46*12&lt;IF(入力!$B$2="男",78,69),2,3),4)+IF(入力!$B$2="男",0,4)</f>
        <v>6</v>
      </c>
      <c r="AF46">
        <f t="shared" si="2"/>
        <v>-0.80100368105600006</v>
      </c>
      <c r="AG46">
        <f>IF($D46*12&lt;90,IF($D46*12&lt;26.75,IF($D46*12&lt;9.5,IF($D46*12&lt;2.5,2,3),4),5),6)+IF(入力!$B$2="男",0,6)+IF(AND(入力!$B$2&lt;&gt;"男",$D46*12&gt;=150),1,0)</f>
        <v>11</v>
      </c>
      <c r="AH46">
        <f t="shared" si="3"/>
        <v>15.28723638556</v>
      </c>
      <c r="AI46">
        <f>IF(($D46*12)&lt;90,2,3)+IF(入力!$B$2="男",0,3)</f>
        <v>5</v>
      </c>
      <c r="AJ46">
        <f t="shared" si="4"/>
        <v>8.3511436560000013E-2</v>
      </c>
      <c r="AK46">
        <f t="shared" si="7"/>
        <v>13.184914372881845</v>
      </c>
      <c r="AL46">
        <f t="shared" si="7"/>
        <v>13.795398116966178</v>
      </c>
      <c r="AM46">
        <f t="shared" si="7"/>
        <v>14.467784045769948</v>
      </c>
      <c r="AN46">
        <f t="shared" si="7"/>
        <v>15.28723638556</v>
      </c>
      <c r="AO46">
        <f t="shared" si="7"/>
        <v>16.194248378191872</v>
      </c>
      <c r="AP46">
        <f t="shared" si="7"/>
        <v>17.097122401997133</v>
      </c>
      <c r="AQ46">
        <f t="shared" si="7"/>
        <v>18.081372118960669</v>
      </c>
    </row>
    <row r="47" spans="1:43" x14ac:dyDescent="0.15">
      <c r="A47">
        <f t="shared" si="8"/>
        <v>3</v>
      </c>
      <c r="B47" s="2">
        <v>7</v>
      </c>
      <c r="D47" s="3">
        <f t="shared" si="6"/>
        <v>3.5833333333333335</v>
      </c>
      <c r="F47">
        <f>IF(入力!$B$2="男",成長曲線_男!E45,成長曲線_女!E45)</f>
        <v>96.5</v>
      </c>
      <c r="G47">
        <f>IF(入力!$B$2="男",成長曲線_男!F45,成長曲線_女!F45)</f>
        <v>3.6</v>
      </c>
      <c r="H47">
        <f>IF(入力!$B$2="男",成長曲線_男!G45,成長曲線_女!G45)</f>
        <v>103.7</v>
      </c>
      <c r="I47">
        <f>IF(入力!$B$2="男",成長曲線_男!H45,成長曲線_女!H45)</f>
        <v>100.1</v>
      </c>
      <c r="J47">
        <f>IF(入力!$B$2="男",成長曲線_男!I45,成長曲線_女!I45)</f>
        <v>92.9</v>
      </c>
      <c r="K47">
        <f>IF(入力!$B$2="男",成長曲線_男!J45,成長曲線_女!J45)</f>
        <v>89.3</v>
      </c>
      <c r="L47">
        <f>IF(入力!$B$2="男",成長曲線_男!K45,成長曲線_女!K45)</f>
        <v>87.5</v>
      </c>
      <c r="M47">
        <f>IF(入力!$B$2="男",成長曲線_男!L45,成長曲線_女!L45)</f>
        <v>85.7</v>
      </c>
      <c r="O47">
        <f>IF(入力!$B$2="男",成長曲線_男!N45,成長曲線_女!N45)</f>
        <v>14.3</v>
      </c>
      <c r="P47">
        <f>IF(入力!$B$2="男",成長曲線_男!O45,成長曲線_女!O45)</f>
        <v>1.67</v>
      </c>
      <c r="Q47">
        <f>IF(入力!$B$2="男",成長曲線_男!P45,成長曲線_女!P45)</f>
        <v>17.64</v>
      </c>
      <c r="R47">
        <f>IF(入力!$B$2="男",成長曲線_男!Q45,成長曲線_女!Q45)</f>
        <v>15.97</v>
      </c>
      <c r="S47">
        <f>IF(入力!$B$2="男",成長曲線_男!R45,成長曲線_女!R45)</f>
        <v>12.63</v>
      </c>
      <c r="T47">
        <f>IF(入力!$B$2="男",成長曲線_男!S45,成長曲線_女!S45)</f>
        <v>10.96</v>
      </c>
      <c r="V47">
        <v>10.75</v>
      </c>
      <c r="W47">
        <f>IF(入力!$B$2="男",成長曲線_男!V45,成長曲線_女!V45)</f>
        <v>7.9</v>
      </c>
      <c r="X47">
        <f>IF(入力!$B$2="男",成長曲線_男!W45,成長曲線_女!W45)</f>
        <v>1</v>
      </c>
      <c r="Y47">
        <f>IF(入力!$B$2="男",成長曲線_男!X45,成長曲線_女!X45)</f>
        <v>9.9</v>
      </c>
      <c r="Z47">
        <f>IF(入力!$B$2="男",成長曲線_男!Y45,成長曲線_女!Y45)</f>
        <v>8.9</v>
      </c>
      <c r="AA47">
        <f>IF(入力!$B$2="男",成長曲線_男!Z45,成長曲線_女!Z45)</f>
        <v>6.9</v>
      </c>
      <c r="AB47">
        <f>IF(入力!$B$2="男",成長曲線_男!AA45,成長曲線_女!AA45)</f>
        <v>5.9</v>
      </c>
      <c r="AE47">
        <f>IF($D47*12&lt;150,IF($D47*12&lt;IF(入力!$B$2="男",78,69),2,3),4)+IF(入力!$B$2="男",0,4)</f>
        <v>6</v>
      </c>
      <c r="AF47">
        <f t="shared" si="2"/>
        <v>-0.83877926570900019</v>
      </c>
      <c r="AG47">
        <f>IF($D47*12&lt;90,IF($D47*12&lt;26.75,IF($D47*12&lt;9.5,IF($D47*12&lt;2.5,2,3),4),5),6)+IF(入力!$B$2="男",0,6)+IF(AND(入力!$B$2&lt;&gt;"男",$D47*12&gt;=150),1,0)</f>
        <v>11</v>
      </c>
      <c r="AH47">
        <f t="shared" si="3"/>
        <v>15.282746100464999</v>
      </c>
      <c r="AI47">
        <f>IF(($D47*12)&lt;90,2,3)+IF(入力!$B$2="男",0,3)</f>
        <v>5</v>
      </c>
      <c r="AJ47">
        <f t="shared" si="4"/>
        <v>8.4005493640000012E-2</v>
      </c>
      <c r="AK47">
        <f t="shared" si="7"/>
        <v>13.175445854171823</v>
      </c>
      <c r="AL47">
        <f t="shared" si="7"/>
        <v>13.786002302548242</v>
      </c>
      <c r="AM47">
        <f t="shared" si="7"/>
        <v>14.459749262827414</v>
      </c>
      <c r="AN47">
        <f t="shared" si="7"/>
        <v>15.282746100464999</v>
      </c>
      <c r="AO47">
        <f t="shared" si="7"/>
        <v>16.196189550731155</v>
      </c>
      <c r="AP47">
        <f t="shared" si="7"/>
        <v>17.108178384847655</v>
      </c>
      <c r="AQ47">
        <f t="shared" si="7"/>
        <v>18.105551019443837</v>
      </c>
    </row>
    <row r="48" spans="1:43" x14ac:dyDescent="0.15">
      <c r="A48">
        <f t="shared" si="8"/>
        <v>3</v>
      </c>
      <c r="B48" s="2">
        <v>8</v>
      </c>
      <c r="D48" s="3">
        <f t="shared" si="6"/>
        <v>3.6666666666666665</v>
      </c>
      <c r="F48">
        <f>IF(入力!$B$2="男",成長曲線_男!E46,成長曲線_女!E46)</f>
        <v>97.1</v>
      </c>
      <c r="G48">
        <f>IF(入力!$B$2="男",成長曲線_男!F46,成長曲線_女!F46)</f>
        <v>3.6</v>
      </c>
      <c r="H48">
        <f>IF(入力!$B$2="男",成長曲線_男!G46,成長曲線_女!G46)</f>
        <v>104.3</v>
      </c>
      <c r="I48">
        <f>IF(入力!$B$2="男",成長曲線_男!H46,成長曲線_女!H46)</f>
        <v>100.69999999999999</v>
      </c>
      <c r="J48">
        <f>IF(入力!$B$2="男",成長曲線_男!I46,成長曲線_女!I46)</f>
        <v>93.5</v>
      </c>
      <c r="K48">
        <f>IF(入力!$B$2="男",成長曲線_男!J46,成長曲線_女!J46)</f>
        <v>89.899999999999991</v>
      </c>
      <c r="L48">
        <f>IF(入力!$B$2="男",成長曲線_男!K46,成長曲線_女!K46)</f>
        <v>88.1</v>
      </c>
      <c r="M48">
        <f>IF(入力!$B$2="男",成長曲線_男!L46,成長曲線_女!L46)</f>
        <v>86.3</v>
      </c>
      <c r="O48">
        <f>IF(入力!$B$2="男",成長曲線_男!N46,成長曲線_女!N46)</f>
        <v>14.4</v>
      </c>
      <c r="P48">
        <f>IF(入力!$B$2="男",成長曲線_男!O46,成長曲線_女!O46)</f>
        <v>1.67</v>
      </c>
      <c r="Q48">
        <f>IF(入力!$B$2="男",成長曲線_男!P46,成長曲線_女!P46)</f>
        <v>17.740000000000002</v>
      </c>
      <c r="R48">
        <f>IF(入力!$B$2="男",成長曲線_男!Q46,成長曲線_女!Q46)</f>
        <v>16.07</v>
      </c>
      <c r="S48">
        <f>IF(入力!$B$2="男",成長曲線_男!R46,成長曲線_女!R46)</f>
        <v>12.73</v>
      </c>
      <c r="T48">
        <f>IF(入力!$B$2="男",成長曲線_男!S46,成長曲線_女!S46)</f>
        <v>11.06</v>
      </c>
      <c r="V48">
        <v>11</v>
      </c>
      <c r="W48">
        <f>IF(入力!$B$2="男",成長曲線_男!V46,成長曲線_女!V46)</f>
        <v>8.3000000000000007</v>
      </c>
      <c r="X48">
        <f>IF(入力!$B$2="男",成長曲線_男!W46,成長曲線_女!W46)</f>
        <v>1.1000000000000001</v>
      </c>
      <c r="Y48">
        <f>IF(入力!$B$2="男",成長曲線_男!X46,成長曲線_女!X46)</f>
        <v>10.5</v>
      </c>
      <c r="Z48">
        <f>IF(入力!$B$2="男",成長曲線_男!Y46,成長曲線_女!Y46)</f>
        <v>9.4</v>
      </c>
      <c r="AA48">
        <f>IF(入力!$B$2="男",成長曲線_男!Z46,成長曲線_女!Z46)</f>
        <v>7.2000000000000011</v>
      </c>
      <c r="AB48">
        <f>IF(入力!$B$2="男",成長曲線_男!AA46,成長曲線_女!AA46)</f>
        <v>6.1000000000000005</v>
      </c>
      <c r="AE48">
        <f>IF($D48*12&lt;150,IF($D48*12&lt;IF(入力!$B$2="男",78,69),2,3),4)+IF(入力!$B$2="男",0,4)</f>
        <v>6</v>
      </c>
      <c r="AF48">
        <f t="shared" si="2"/>
        <v>-0.87651288120800019</v>
      </c>
      <c r="AG48">
        <f>IF($D48*12&lt;90,IF($D48*12&lt;26.75,IF($D48*12&lt;9.5,IF($D48*12&lt;2.5,2,3),4),5),6)+IF(入力!$B$2="男",0,6)+IF(AND(入力!$B$2&lt;&gt;"男",$D48*12&gt;=150),1,0)</f>
        <v>11</v>
      </c>
      <c r="AH48">
        <f t="shared" si="3"/>
        <v>15.27883226008</v>
      </c>
      <c r="AI48">
        <f>IF(($D48*12)&lt;90,2,3)+IF(入力!$B$2="男",0,3)</f>
        <v>5</v>
      </c>
      <c r="AJ48">
        <f t="shared" si="4"/>
        <v>8.4519582480000008E-2</v>
      </c>
      <c r="AK48">
        <f t="shared" si="7"/>
        <v>13.166122489403772</v>
      </c>
      <c r="AL48">
        <f t="shared" si="7"/>
        <v>13.776855591392644</v>
      </c>
      <c r="AM48">
        <f t="shared" si="7"/>
        <v>14.452093818227418</v>
      </c>
      <c r="AN48">
        <f t="shared" si="7"/>
        <v>15.27883226008</v>
      </c>
      <c r="AO48">
        <f t="shared" si="7"/>
        <v>16.199000165989769</v>
      </c>
      <c r="AP48">
        <f t="shared" si="7"/>
        <v>17.120505371786084</v>
      </c>
      <c r="AQ48">
        <f t="shared" si="7"/>
        <v>18.131604962707332</v>
      </c>
    </row>
    <row r="49" spans="1:43" x14ac:dyDescent="0.15">
      <c r="A49">
        <f t="shared" si="8"/>
        <v>3</v>
      </c>
      <c r="B49" s="2">
        <v>9</v>
      </c>
      <c r="D49" s="3">
        <f t="shared" si="6"/>
        <v>3.75</v>
      </c>
      <c r="F49">
        <f>IF(入力!$B$2="男",成長曲線_男!E47,成長曲線_女!E47)</f>
        <v>97.7</v>
      </c>
      <c r="G49">
        <f>IF(入力!$B$2="男",成長曲線_男!F47,成長曲線_女!F47)</f>
        <v>3.7</v>
      </c>
      <c r="H49">
        <f>IF(入力!$B$2="男",成長曲線_男!G47,成長曲線_女!G47)</f>
        <v>105.10000000000001</v>
      </c>
      <c r="I49">
        <f>IF(入力!$B$2="男",成長曲線_男!H47,成長曲線_女!H47)</f>
        <v>101.4</v>
      </c>
      <c r="J49">
        <f>IF(入力!$B$2="男",成長曲線_男!I47,成長曲線_女!I47)</f>
        <v>94</v>
      </c>
      <c r="K49">
        <f>IF(入力!$B$2="男",成長曲線_男!J47,成長曲線_女!J47)</f>
        <v>90.3</v>
      </c>
      <c r="L49">
        <f>IF(入力!$B$2="男",成長曲線_男!K47,成長曲線_女!K47)</f>
        <v>88.45</v>
      </c>
      <c r="M49">
        <f>IF(入力!$B$2="男",成長曲線_男!L47,成長曲線_女!L47)</f>
        <v>86.6</v>
      </c>
      <c r="O49">
        <f>IF(入力!$B$2="男",成長曲線_男!N47,成長曲線_女!N47)</f>
        <v>14.6</v>
      </c>
      <c r="P49">
        <f>IF(入力!$B$2="男",成長曲線_男!O47,成長曲線_女!O47)</f>
        <v>1.67</v>
      </c>
      <c r="Q49">
        <f>IF(入力!$B$2="男",成長曲線_男!P47,成長曲線_女!P47)</f>
        <v>17.939999999999998</v>
      </c>
      <c r="R49">
        <f>IF(入力!$B$2="男",成長曲線_男!Q47,成長曲線_女!Q47)</f>
        <v>16.27</v>
      </c>
      <c r="S49">
        <f>IF(入力!$B$2="男",成長曲線_男!R47,成長曲線_女!R47)</f>
        <v>12.93</v>
      </c>
      <c r="T49">
        <f>IF(入力!$B$2="男",成長曲線_男!S47,成長曲線_女!S47)</f>
        <v>11.26</v>
      </c>
      <c r="V49">
        <v>11.25</v>
      </c>
      <c r="W49">
        <f>IF(入力!$B$2="男",成長曲線_男!V47,成長曲線_女!V47)</f>
        <v>8</v>
      </c>
      <c r="X49">
        <f>IF(入力!$B$2="男",成長曲線_男!W47,成長曲線_女!W47)</f>
        <v>1</v>
      </c>
      <c r="Y49">
        <f>IF(入力!$B$2="男",成長曲線_男!X47,成長曲線_女!X47)</f>
        <v>10</v>
      </c>
      <c r="Z49">
        <f>IF(入力!$B$2="男",成長曲線_男!Y47,成長曲線_女!Y47)</f>
        <v>9</v>
      </c>
      <c r="AA49">
        <f>IF(入力!$B$2="男",成長曲線_男!Z47,成長曲線_女!Z47)</f>
        <v>7</v>
      </c>
      <c r="AB49">
        <f>IF(入力!$B$2="男",成長曲線_男!AA47,成長曲線_女!AA47)</f>
        <v>6</v>
      </c>
      <c r="AE49">
        <f>IF($D49*12&lt;150,IF($D49*12&lt;IF(入力!$B$2="男",78,69),2,3),4)+IF(入力!$B$2="男",0,4)</f>
        <v>6</v>
      </c>
      <c r="AF49">
        <f t="shared" si="2"/>
        <v>-0.91420244187500022</v>
      </c>
      <c r="AG49">
        <f>IF($D49*12&lt;90,IF($D49*12&lt;26.75,IF($D49*12&lt;9.5,IF($D49*12&lt;2.5,2,3),4),5),6)+IF(入力!$B$2="男",0,6)+IF(AND(入力!$B$2&lt;&gt;"男",$D49*12&gt;=150),1,0)</f>
        <v>11</v>
      </c>
      <c r="AH49">
        <f t="shared" si="3"/>
        <v>15.275491984375</v>
      </c>
      <c r="AI49">
        <f>IF(($D49*12)&lt;90,2,3)+IF(入力!$B$2="男",0,3)</f>
        <v>5</v>
      </c>
      <c r="AJ49">
        <f t="shared" si="4"/>
        <v>8.5053089999999998E-2</v>
      </c>
      <c r="AK49">
        <f t="shared" si="7"/>
        <v>13.156961989993619</v>
      </c>
      <c r="AL49">
        <f t="shared" si="7"/>
        <v>13.767968935617741</v>
      </c>
      <c r="AM49">
        <f t="shared" si="7"/>
        <v>14.444821765010719</v>
      </c>
      <c r="AN49">
        <f t="shared" si="7"/>
        <v>15.275491984375</v>
      </c>
      <c r="AO49">
        <f t="shared" si="7"/>
        <v>16.202673143743265</v>
      </c>
      <c r="AP49">
        <f t="shared" si="7"/>
        <v>17.134098338414436</v>
      </c>
      <c r="AQ49">
        <f t="shared" si="7"/>
        <v>18.15954260028035</v>
      </c>
    </row>
    <row r="50" spans="1:43" x14ac:dyDescent="0.15">
      <c r="A50">
        <f t="shared" si="8"/>
        <v>3</v>
      </c>
      <c r="B50" s="2">
        <v>10</v>
      </c>
      <c r="D50" s="3">
        <f t="shared" si="6"/>
        <v>3.8333333333333335</v>
      </c>
      <c r="F50">
        <f>IF(入力!$B$2="男",成長曲線_男!E48,成長曲線_女!E48)</f>
        <v>98.3</v>
      </c>
      <c r="G50">
        <f>IF(入力!$B$2="男",成長曲線_男!F48,成長曲線_女!F48)</f>
        <v>3.7</v>
      </c>
      <c r="H50">
        <f>IF(入力!$B$2="男",成長曲線_男!G48,成長曲線_女!G48)</f>
        <v>105.7</v>
      </c>
      <c r="I50">
        <f>IF(入力!$B$2="男",成長曲線_男!H48,成長曲線_女!H48)</f>
        <v>102</v>
      </c>
      <c r="J50">
        <f>IF(入力!$B$2="男",成長曲線_男!I48,成長曲線_女!I48)</f>
        <v>94.6</v>
      </c>
      <c r="K50">
        <f>IF(入力!$B$2="男",成長曲線_男!J48,成長曲線_女!J48)</f>
        <v>90.899999999999991</v>
      </c>
      <c r="L50">
        <f>IF(入力!$B$2="男",成長曲線_男!K48,成長曲線_女!K48)</f>
        <v>89.05</v>
      </c>
      <c r="M50">
        <f>IF(入力!$B$2="男",成長曲線_男!L48,成長曲線_女!L48)</f>
        <v>87.199999999999989</v>
      </c>
      <c r="O50">
        <f>IF(入力!$B$2="男",成長曲線_男!N48,成長曲線_女!N48)</f>
        <v>14.8</v>
      </c>
      <c r="P50">
        <f>IF(入力!$B$2="男",成長曲線_男!O48,成長曲線_女!O48)</f>
        <v>1.78</v>
      </c>
      <c r="Q50">
        <f>IF(入力!$B$2="男",成長曲線_男!P48,成長曲線_女!P48)</f>
        <v>18.36</v>
      </c>
      <c r="R50">
        <f>IF(入力!$B$2="男",成長曲線_男!Q48,成長曲線_女!Q48)</f>
        <v>16.580000000000002</v>
      </c>
      <c r="S50">
        <f>IF(入力!$B$2="男",成長曲線_男!R48,成長曲線_女!R48)</f>
        <v>13.020000000000001</v>
      </c>
      <c r="T50">
        <f>IF(入力!$B$2="男",成長曲線_男!S48,成長曲線_女!S48)</f>
        <v>11.24</v>
      </c>
      <c r="V50">
        <v>11.5</v>
      </c>
      <c r="W50">
        <f>IF(入力!$B$2="男",成長曲線_男!V48,成長曲線_女!V48)</f>
        <v>7.4</v>
      </c>
      <c r="X50">
        <f>IF(入力!$B$2="男",成長曲線_男!W48,成長曲線_女!W48)</f>
        <v>0.9</v>
      </c>
      <c r="Y50">
        <f>IF(入力!$B$2="男",成長曲線_男!X48,成長曲線_女!X48)</f>
        <v>9.2000000000000011</v>
      </c>
      <c r="Z50">
        <f>IF(入力!$B$2="男",成長曲線_男!Y48,成長曲線_女!Y48)</f>
        <v>8.3000000000000007</v>
      </c>
      <c r="AA50">
        <f>IF(入力!$B$2="男",成長曲線_男!Z48,成長曲線_女!Z48)</f>
        <v>6.5</v>
      </c>
      <c r="AB50">
        <f>IF(入力!$B$2="男",成長曲線_男!AA48,成長曲線_女!AA48)</f>
        <v>5.6000000000000005</v>
      </c>
      <c r="AE50">
        <f>IF($D50*12&lt;150,IF($D50*12&lt;IF(入力!$B$2="男",78,69),2,3),4)+IF(入力!$B$2="男",0,4)</f>
        <v>6</v>
      </c>
      <c r="AF50">
        <f t="shared" si="2"/>
        <v>-0.95184586203200017</v>
      </c>
      <c r="AG50">
        <f>IF($D50*12&lt;90,IF($D50*12&lt;26.75,IF($D50*12&lt;9.5,IF($D50*12&lt;2.5,2,3),4),5),6)+IF(入力!$B$2="男",0,6)+IF(AND(入力!$B$2&lt;&gt;"男",$D50*12&gt;=150),1,0)</f>
        <v>11</v>
      </c>
      <c r="AH50">
        <f t="shared" si="3"/>
        <v>15.272722393319999</v>
      </c>
      <c r="AI50">
        <f>IF(($D50*12)&lt;90,2,3)+IF(入力!$B$2="男",0,3)</f>
        <v>5</v>
      </c>
      <c r="AJ50">
        <f t="shared" si="4"/>
        <v>8.5605403120000007E-2</v>
      </c>
      <c r="AK50">
        <f t="shared" si="7"/>
        <v>13.147981635332833</v>
      </c>
      <c r="AL50">
        <f t="shared" si="7"/>
        <v>13.759353061975807</v>
      </c>
      <c r="AM50">
        <f t="shared" si="7"/>
        <v>14.437937075703928</v>
      </c>
      <c r="AN50">
        <f t="shared" si="7"/>
        <v>15.272722393319999</v>
      </c>
      <c r="AO50">
        <f t="shared" si="7"/>
        <v>16.207201453396259</v>
      </c>
      <c r="AP50">
        <f t="shared" si="7"/>
        <v>17.14895251364501</v>
      </c>
      <c r="AQ50">
        <f t="shared" si="7"/>
        <v>18.189373661463403</v>
      </c>
    </row>
    <row r="51" spans="1:43" x14ac:dyDescent="0.15">
      <c r="A51">
        <f t="shared" si="8"/>
        <v>3</v>
      </c>
      <c r="B51" s="2">
        <v>11</v>
      </c>
      <c r="D51" s="3">
        <f t="shared" si="6"/>
        <v>3.9166666666666665</v>
      </c>
      <c r="F51">
        <f>IF(入力!$B$2="男",成長曲線_男!E49,成長曲線_女!E49)</f>
        <v>98.9</v>
      </c>
      <c r="G51">
        <f>IF(入力!$B$2="男",成長曲線_男!F49,成長曲線_女!F49)</f>
        <v>3.8</v>
      </c>
      <c r="H51">
        <f>IF(入力!$B$2="男",成長曲線_男!G49,成長曲線_女!G49)</f>
        <v>106.5</v>
      </c>
      <c r="I51">
        <f>IF(入力!$B$2="男",成長曲線_男!H49,成長曲線_女!H49)</f>
        <v>102.7</v>
      </c>
      <c r="J51">
        <f>IF(入力!$B$2="男",成長曲線_男!I49,成長曲線_女!I49)</f>
        <v>95.100000000000009</v>
      </c>
      <c r="K51">
        <f>IF(入力!$B$2="男",成長曲線_男!J49,成長曲線_女!J49)</f>
        <v>91.300000000000011</v>
      </c>
      <c r="L51">
        <f>IF(入力!$B$2="男",成長曲線_男!K49,成長曲線_女!K49)</f>
        <v>89.4</v>
      </c>
      <c r="M51">
        <f>IF(入力!$B$2="男",成長曲線_男!L49,成長曲線_女!L49)</f>
        <v>87.5</v>
      </c>
      <c r="O51">
        <f>IF(入力!$B$2="男",成長曲線_男!N49,成長曲線_女!N49)</f>
        <v>15</v>
      </c>
      <c r="P51">
        <f>IF(入力!$B$2="男",成長曲線_男!O49,成長曲線_女!O49)</f>
        <v>1.9</v>
      </c>
      <c r="Q51">
        <f>IF(入力!$B$2="男",成長曲線_男!P49,成長曲線_女!P49)</f>
        <v>18.8</v>
      </c>
      <c r="R51">
        <f>IF(入力!$B$2="男",成長曲線_男!Q49,成長曲線_女!Q49)</f>
        <v>16.899999999999999</v>
      </c>
      <c r="S51">
        <f>IF(入力!$B$2="男",成長曲線_男!R49,成長曲線_女!R49)</f>
        <v>13.1</v>
      </c>
      <c r="T51">
        <f>IF(入力!$B$2="男",成長曲線_男!S49,成長曲線_女!S49)</f>
        <v>11.2</v>
      </c>
      <c r="V51">
        <v>11.75</v>
      </c>
      <c r="W51">
        <f>IF(入力!$B$2="男",成長曲線_男!V49,成長曲線_女!V49)</f>
        <v>6.7</v>
      </c>
      <c r="X51">
        <f>IF(入力!$B$2="男",成長曲線_男!W49,成長曲線_女!W49)</f>
        <v>0.8</v>
      </c>
      <c r="Y51">
        <f>IF(入力!$B$2="男",成長曲線_男!X49,成長曲線_女!X49)</f>
        <v>8.3000000000000007</v>
      </c>
      <c r="Z51">
        <f>IF(入力!$B$2="男",成長曲線_男!Y49,成長曲線_女!Y49)</f>
        <v>7.5</v>
      </c>
      <c r="AA51">
        <f>IF(入力!$B$2="男",成長曲線_男!Z49,成長曲線_女!Z49)</f>
        <v>5.9</v>
      </c>
      <c r="AB51">
        <f>IF(入力!$B$2="男",成長曲線_男!AA49,成長曲線_女!AA49)</f>
        <v>5.0999999999999996</v>
      </c>
      <c r="AE51">
        <f>IF($D51*12&lt;150,IF($D51*12&lt;IF(入力!$B$2="男",78,69),2,3),4)+IF(入力!$B$2="男",0,4)</f>
        <v>6</v>
      </c>
      <c r="AF51">
        <f t="shared" si="2"/>
        <v>-0.98944105600100019</v>
      </c>
      <c r="AG51">
        <f>IF($D51*12&lt;90,IF($D51*12&lt;26.75,IF($D51*12&lt;9.5,IF($D51*12&lt;2.5,2,3),4),5),6)+IF(入力!$B$2="男",0,6)+IF(AND(入力!$B$2&lt;&gt;"男",$D51*12&gt;=150),1,0)</f>
        <v>11</v>
      </c>
      <c r="AH51">
        <f t="shared" si="3"/>
        <v>15.270520606885</v>
      </c>
      <c r="AI51">
        <f>IF(($D51*12)&lt;90,2,3)+IF(入力!$B$2="男",0,3)</f>
        <v>5</v>
      </c>
      <c r="AJ51">
        <f t="shared" si="4"/>
        <v>8.6175908760000003E-2</v>
      </c>
      <c r="AK51">
        <f t="shared" si="7"/>
        <v>13.139198276076488</v>
      </c>
      <c r="AL51">
        <f t="shared" si="7"/>
        <v>13.751018473547488</v>
      </c>
      <c r="AM51">
        <f t="shared" si="7"/>
        <v>14.431443643668995</v>
      </c>
      <c r="AN51">
        <f t="shared" si="7"/>
        <v>15.270520606885</v>
      </c>
      <c r="AO51">
        <f t="shared" si="7"/>
        <v>16.212578109987508</v>
      </c>
      <c r="AP51">
        <f t="shared" si="7"/>
        <v>17.165063376884497</v>
      </c>
      <c r="AQ51">
        <f t="shared" si="7"/>
        <v>18.221108991662319</v>
      </c>
    </row>
    <row r="52" spans="1:43" x14ac:dyDescent="0.15">
      <c r="A52">
        <f t="shared" si="8"/>
        <v>4</v>
      </c>
      <c r="B52" s="2">
        <v>0</v>
      </c>
      <c r="D52" s="3">
        <f t="shared" si="6"/>
        <v>4</v>
      </c>
      <c r="F52">
        <f>IF(入力!$B$2="男",成長曲線_男!E50,成長曲線_女!E50)</f>
        <v>99.5</v>
      </c>
      <c r="G52">
        <f>IF(入力!$B$2="男",成長曲線_男!F50,成長曲線_女!F50)</f>
        <v>3.8</v>
      </c>
      <c r="H52">
        <f>IF(入力!$B$2="男",成長曲線_男!G50,成長曲線_女!G50)</f>
        <v>107.1</v>
      </c>
      <c r="I52">
        <f>IF(入力!$B$2="男",成長曲線_男!H50,成長曲線_女!H50)</f>
        <v>103.3</v>
      </c>
      <c r="J52">
        <f>IF(入力!$B$2="男",成長曲線_男!I50,成長曲線_女!I50)</f>
        <v>95.7</v>
      </c>
      <c r="K52">
        <f>IF(入力!$B$2="男",成長曲線_男!J50,成長曲線_女!J50)</f>
        <v>91.9</v>
      </c>
      <c r="L52">
        <f>IF(入力!$B$2="男",成長曲線_男!K50,成長曲線_女!K50)</f>
        <v>90</v>
      </c>
      <c r="M52">
        <f>IF(入力!$B$2="男",成長曲線_男!L50,成長曲線_女!L50)</f>
        <v>88.1</v>
      </c>
      <c r="O52">
        <f>IF(入力!$B$2="男",成長曲線_男!N50,成長曲線_女!N50)</f>
        <v>15.2</v>
      </c>
      <c r="P52">
        <f>IF(入力!$B$2="男",成長曲線_男!O50,成長曲線_女!O50)</f>
        <v>2.0099999999999998</v>
      </c>
      <c r="Q52">
        <f>IF(入力!$B$2="男",成長曲線_男!P50,成長曲線_女!P50)</f>
        <v>19.22</v>
      </c>
      <c r="R52">
        <f>IF(入力!$B$2="男",成長曲線_男!Q50,成長曲線_女!Q50)</f>
        <v>17.21</v>
      </c>
      <c r="S52">
        <f>IF(入力!$B$2="男",成長曲線_男!R50,成長曲線_女!R50)</f>
        <v>13.19</v>
      </c>
      <c r="T52">
        <f>IF(入力!$B$2="男",成長曲線_男!S50,成長曲線_女!S50)</f>
        <v>11.18</v>
      </c>
      <c r="V52">
        <v>12</v>
      </c>
      <c r="W52">
        <f>IF(入力!$B$2="男",成長曲線_男!V50,成長曲線_女!V50)</f>
        <v>5.8</v>
      </c>
      <c r="X52">
        <f>IF(入力!$B$2="男",成長曲線_男!W50,成長曲線_女!W50)</f>
        <v>0.8</v>
      </c>
      <c r="Y52">
        <f>IF(入力!$B$2="男",成長曲線_男!X50,成長曲線_女!X50)</f>
        <v>7.4</v>
      </c>
      <c r="Z52">
        <f>IF(入力!$B$2="男",成長曲線_男!Y50,成長曲線_女!Y50)</f>
        <v>6.6</v>
      </c>
      <c r="AA52">
        <f>IF(入力!$B$2="男",成長曲線_男!Z50,成長曲線_女!Z50)</f>
        <v>5</v>
      </c>
      <c r="AB52">
        <f>IF(入力!$B$2="男",成長曲線_男!AA50,成長曲線_女!AA50)</f>
        <v>4.1999999999999993</v>
      </c>
      <c r="AE52">
        <f>IF($D52*12&lt;150,IF($D52*12&lt;IF(入力!$B$2="男",78,69),2,3),4)+IF(入力!$B$2="男",0,4)</f>
        <v>6</v>
      </c>
      <c r="AF52">
        <f t="shared" si="2"/>
        <v>-1.0269859381040001</v>
      </c>
      <c r="AG52">
        <f>IF($D52*12&lt;90,IF($D52*12&lt;26.75,IF($D52*12&lt;9.5,IF($D52*12&lt;2.5,2,3),4),5),6)+IF(入力!$B$2="男",0,6)+IF(AND(入力!$B$2&lt;&gt;"男",$D52*12&gt;=150),1,0)</f>
        <v>11</v>
      </c>
      <c r="AH52">
        <f t="shared" si="3"/>
        <v>15.26888374504</v>
      </c>
      <c r="AI52">
        <f>IF(($D52*12)&lt;90,2,3)+IF(入力!$B$2="男",0,3)</f>
        <v>5</v>
      </c>
      <c r="AJ52">
        <f t="shared" si="4"/>
        <v>8.6763993839999998E-2</v>
      </c>
      <c r="AK52">
        <f t="shared" si="7"/>
        <v>13.130628337119949</v>
      </c>
      <c r="AL52">
        <f t="shared" si="7"/>
        <v>13.742975451202152</v>
      </c>
      <c r="AM52">
        <f t="shared" si="7"/>
        <v>14.425345284340969</v>
      </c>
      <c r="AN52">
        <f t="shared" si="7"/>
        <v>15.26888374504</v>
      </c>
      <c r="AO52">
        <f t="shared" si="7"/>
        <v>16.21879617002859</v>
      </c>
      <c r="AP52">
        <f t="shared" si="7"/>
        <v>17.182426654753879</v>
      </c>
      <c r="AQ52">
        <f t="shared" si="7"/>
        <v>18.254760592524299</v>
      </c>
    </row>
    <row r="53" spans="1:43" x14ac:dyDescent="0.15">
      <c r="A53">
        <f t="shared" si="8"/>
        <v>4</v>
      </c>
      <c r="B53" s="2">
        <v>1</v>
      </c>
      <c r="D53" s="3">
        <f t="shared" si="6"/>
        <v>4.083333333333333</v>
      </c>
      <c r="F53">
        <f>IF(入力!$B$2="男",成長曲線_男!E51,成長曲線_女!E51)</f>
        <v>100</v>
      </c>
      <c r="G53">
        <f>IF(入力!$B$2="男",成長曲線_男!F51,成長曲線_女!F51)</f>
        <v>3.8</v>
      </c>
      <c r="H53">
        <f>IF(入力!$B$2="男",成長曲線_男!G51,成長曲線_女!G51)</f>
        <v>107.6</v>
      </c>
      <c r="I53">
        <f>IF(入力!$B$2="男",成長曲線_男!H51,成長曲線_女!H51)</f>
        <v>103.8</v>
      </c>
      <c r="J53">
        <f>IF(入力!$B$2="男",成長曲線_男!I51,成長曲線_女!I51)</f>
        <v>96.2</v>
      </c>
      <c r="K53">
        <f>IF(入力!$B$2="男",成長曲線_男!J51,成長曲線_女!J51)</f>
        <v>92.4</v>
      </c>
      <c r="L53">
        <f>IF(入力!$B$2="男",成長曲線_男!K51,成長曲線_女!K51)</f>
        <v>90.5</v>
      </c>
      <c r="M53">
        <f>IF(入力!$B$2="男",成長曲線_男!L51,成長曲線_女!L51)</f>
        <v>88.6</v>
      </c>
      <c r="O53">
        <f>IF(入力!$B$2="男",成長曲線_男!N51,成長曲線_女!N51)</f>
        <v>15.4</v>
      </c>
      <c r="P53">
        <f>IF(入力!$B$2="男",成長曲線_男!O51,成長曲線_女!O51)</f>
        <v>2.12</v>
      </c>
      <c r="Q53">
        <f>IF(入力!$B$2="男",成長曲線_男!P51,成長曲線_女!P51)</f>
        <v>19.64</v>
      </c>
      <c r="R53">
        <f>IF(入力!$B$2="男",成長曲線_男!Q51,成長曲線_女!Q51)</f>
        <v>17.52</v>
      </c>
      <c r="S53">
        <f>IF(入力!$B$2="男",成長曲線_男!R51,成長曲線_女!R51)</f>
        <v>13.280000000000001</v>
      </c>
      <c r="T53">
        <f>IF(入力!$B$2="男",成長曲線_男!S51,成長曲線_女!S51)</f>
        <v>11.16</v>
      </c>
      <c r="V53">
        <v>12.25</v>
      </c>
      <c r="W53">
        <f>IF(入力!$B$2="男",成長曲線_男!V51,成長曲線_女!V51)</f>
        <v>5</v>
      </c>
      <c r="X53">
        <f>IF(入力!$B$2="男",成長曲線_男!W51,成長曲線_女!W51)</f>
        <v>0.9</v>
      </c>
      <c r="Y53">
        <f>IF(入力!$B$2="男",成長曲線_男!X51,成長曲線_女!X51)</f>
        <v>6.8</v>
      </c>
      <c r="Z53">
        <f>IF(入力!$B$2="男",成長曲線_男!Y51,成長曲線_女!Y51)</f>
        <v>5.9</v>
      </c>
      <c r="AA53">
        <f>IF(入力!$B$2="男",成長曲線_男!Z51,成長曲線_女!Z51)</f>
        <v>4.0999999999999996</v>
      </c>
      <c r="AB53">
        <f>IF(入力!$B$2="男",成長曲線_男!AA51,成長曲線_女!AA51)</f>
        <v>3.2</v>
      </c>
      <c r="AE53">
        <f>IF($D53*12&lt;150,IF($D53*12&lt;IF(入力!$B$2="男",78,69),2,3),4)+IF(入力!$B$2="男",0,4)</f>
        <v>6</v>
      </c>
      <c r="AF53">
        <f t="shared" si="2"/>
        <v>-1.0644784226630004</v>
      </c>
      <c r="AG53">
        <f>IF($D53*12&lt;90,IF($D53*12&lt;26.75,IF($D53*12&lt;9.5,IF($D53*12&lt;2.5,2,3),4),5),6)+IF(入力!$B$2="男",0,6)+IF(AND(入力!$B$2&lt;&gt;"男",$D53*12&gt;=150),1,0)</f>
        <v>11</v>
      </c>
      <c r="AH53">
        <f t="shared" si="3"/>
        <v>15.267808927755</v>
      </c>
      <c r="AI53">
        <f>IF(($D53*12)&lt;90,2,3)+IF(入力!$B$2="男",0,3)</f>
        <v>5</v>
      </c>
      <c r="AJ53">
        <f t="shared" si="4"/>
        <v>8.7369045280000002E-2</v>
      </c>
      <c r="AK53">
        <f t="shared" si="7"/>
        <v>13.122287820338547</v>
      </c>
      <c r="AL53">
        <f t="shared" si="7"/>
        <v>13.73523405486069</v>
      </c>
      <c r="AM53">
        <f t="shared" si="7"/>
        <v>14.419645736363581</v>
      </c>
      <c r="AN53">
        <f t="shared" si="7"/>
        <v>15.267808927755</v>
      </c>
      <c r="AO53">
        <f t="shared" si="7"/>
        <v>16.225848727176427</v>
      </c>
      <c r="AP53">
        <f t="shared" si="7"/>
        <v>17.201038317335041</v>
      </c>
      <c r="AQ53">
        <f t="shared" si="7"/>
        <v>18.29034166405609</v>
      </c>
    </row>
    <row r="54" spans="1:43" x14ac:dyDescent="0.15">
      <c r="A54">
        <f t="shared" si="8"/>
        <v>4</v>
      </c>
      <c r="B54" s="2">
        <v>2</v>
      </c>
      <c r="D54" s="3">
        <f t="shared" si="6"/>
        <v>4.166666666666667</v>
      </c>
      <c r="F54">
        <f>IF(入力!$B$2="男",成長曲線_男!E52,成長曲線_女!E52)</f>
        <v>100.6</v>
      </c>
      <c r="G54">
        <f>IF(入力!$B$2="男",成長曲線_男!F52,成長曲線_女!F52)</f>
        <v>3.9</v>
      </c>
      <c r="H54">
        <f>IF(入力!$B$2="男",成長曲線_男!G52,成長曲線_女!G52)</f>
        <v>108.39999999999999</v>
      </c>
      <c r="I54">
        <f>IF(入力!$B$2="男",成長曲線_男!H52,成長曲線_女!H52)</f>
        <v>104.5</v>
      </c>
      <c r="J54">
        <f>IF(入力!$B$2="男",成長曲線_男!I52,成長曲線_女!I52)</f>
        <v>96.699999999999989</v>
      </c>
      <c r="K54">
        <f>IF(入力!$B$2="男",成長曲線_男!J52,成長曲線_女!J52)</f>
        <v>92.8</v>
      </c>
      <c r="L54">
        <f>IF(入力!$B$2="男",成長曲線_男!K52,成長曲線_女!K52)</f>
        <v>90.85</v>
      </c>
      <c r="M54">
        <f>IF(入力!$B$2="男",成長曲線_男!L52,成長曲線_女!L52)</f>
        <v>88.899999999999991</v>
      </c>
      <c r="O54">
        <f>IF(入力!$B$2="男",成長曲線_男!N52,成長曲線_女!N52)</f>
        <v>15.6</v>
      </c>
      <c r="P54">
        <f>IF(入力!$B$2="男",成長曲線_男!O52,成長曲線_女!O52)</f>
        <v>2.2400000000000002</v>
      </c>
      <c r="Q54">
        <f>IF(入力!$B$2="男",成長曲線_男!P52,成長曲線_女!P52)</f>
        <v>20.079999999999998</v>
      </c>
      <c r="R54">
        <f>IF(入力!$B$2="男",成長曲線_男!Q52,成長曲線_女!Q52)</f>
        <v>17.84</v>
      </c>
      <c r="S54">
        <f>IF(入力!$B$2="男",成長曲線_男!R52,成長曲線_女!R52)</f>
        <v>13.36</v>
      </c>
      <c r="T54">
        <f>IF(入力!$B$2="男",成長曲線_男!S52,成長曲線_女!S52)</f>
        <v>11.12</v>
      </c>
      <c r="V54">
        <v>12.5</v>
      </c>
      <c r="W54">
        <f>IF(入力!$B$2="男",成長曲線_男!V52,成長曲線_女!V52)</f>
        <v>4.2</v>
      </c>
      <c r="X54">
        <f>IF(入力!$B$2="男",成長曲線_男!W52,成長曲線_女!W52)</f>
        <v>0.9</v>
      </c>
      <c r="Y54">
        <f>IF(入力!$B$2="男",成長曲線_男!X52,成長曲線_女!X52)</f>
        <v>6</v>
      </c>
      <c r="Z54">
        <f>IF(入力!$B$2="男",成長曲線_男!Y52,成長曲線_女!Y52)</f>
        <v>5.1000000000000005</v>
      </c>
      <c r="AA54">
        <f>IF(入力!$B$2="男",成長曲線_男!Z52,成長曲線_女!Z52)</f>
        <v>3.3000000000000003</v>
      </c>
      <c r="AB54">
        <f>IF(入力!$B$2="男",成長曲線_男!AA52,成長曲線_女!AA52)</f>
        <v>2.4000000000000004</v>
      </c>
      <c r="AE54">
        <f>IF($D54*12&lt;150,IF($D54*12&lt;IF(入力!$B$2="男",78,69),2,3),4)+IF(入力!$B$2="男",0,4)</f>
        <v>6</v>
      </c>
      <c r="AF54">
        <f t="shared" si="2"/>
        <v>-1.1019164240000001</v>
      </c>
      <c r="AG54">
        <f>IF($D54*12&lt;90,IF($D54*12&lt;26.75,IF($D54*12&lt;9.5,IF($D54*12&lt;2.5,2,3),4),5),6)+IF(入力!$B$2="男",0,6)+IF(AND(入力!$B$2&lt;&gt;"男",$D54*12&gt;=150),1,0)</f>
        <v>11</v>
      </c>
      <c r="AH54">
        <f t="shared" si="3"/>
        <v>15.267293275</v>
      </c>
      <c r="AI54">
        <f>IF(($D54*12)&lt;90,2,3)+IF(入力!$B$2="男",0,3)</f>
        <v>5</v>
      </c>
      <c r="AJ54">
        <f t="shared" si="4"/>
        <v>8.7990449999999998E-2</v>
      </c>
      <c r="AK54">
        <f t="shared" si="7"/>
        <v>13.114192307159509</v>
      </c>
      <c r="AL54">
        <f t="shared" si="7"/>
        <v>13.727804124595529</v>
      </c>
      <c r="AM54">
        <f t="shared" ref="AL54:AQ96" si="9">$AH54*(1+$AF54*$AJ54*AM$3)^(1/$AF54)</f>
        <v>14.414348662632017</v>
      </c>
      <c r="AN54">
        <f t="shared" si="9"/>
        <v>15.267293275</v>
      </c>
      <c r="AO54">
        <f t="shared" si="9"/>
        <v>16.233728907739795</v>
      </c>
      <c r="AP54">
        <f t="shared" si="9"/>
        <v>17.220894573932462</v>
      </c>
      <c r="AQ54">
        <f t="shared" si="9"/>
        <v>18.327866648915592</v>
      </c>
    </row>
    <row r="55" spans="1:43" x14ac:dyDescent="0.15">
      <c r="A55">
        <f t="shared" si="8"/>
        <v>4</v>
      </c>
      <c r="B55" s="2">
        <v>3</v>
      </c>
      <c r="D55" s="3">
        <f t="shared" si="6"/>
        <v>4.25</v>
      </c>
      <c r="F55">
        <f>IF(入力!$B$2="男",成長曲線_男!E53,成長曲線_女!E53)</f>
        <v>101.2</v>
      </c>
      <c r="G55">
        <f>IF(入力!$B$2="男",成長曲線_男!F53,成長曲線_女!F53)</f>
        <v>3.9</v>
      </c>
      <c r="H55">
        <f>IF(入力!$B$2="男",成長曲線_男!G53,成長曲線_女!G53)</f>
        <v>109</v>
      </c>
      <c r="I55">
        <f>IF(入力!$B$2="男",成長曲線_男!H53,成長曲線_女!H53)</f>
        <v>105.10000000000001</v>
      </c>
      <c r="J55">
        <f>IF(入力!$B$2="男",成長曲線_男!I53,成長曲線_女!I53)</f>
        <v>97.3</v>
      </c>
      <c r="K55">
        <f>IF(入力!$B$2="男",成長曲線_男!J53,成長曲線_女!J53)</f>
        <v>93.4</v>
      </c>
      <c r="L55">
        <f>IF(入力!$B$2="男",成長曲線_男!K53,成長曲線_女!K53)</f>
        <v>91.45</v>
      </c>
      <c r="M55">
        <f>IF(入力!$B$2="男",成長曲線_男!L53,成長曲線_女!L53)</f>
        <v>89.5</v>
      </c>
      <c r="O55">
        <f>IF(入力!$B$2="男",成長曲線_男!N53,成長曲線_女!N53)</f>
        <v>15.8</v>
      </c>
      <c r="P55">
        <f>IF(入力!$B$2="男",成長曲線_男!O53,成長曲線_女!O53)</f>
        <v>2.35</v>
      </c>
      <c r="Q55">
        <f>IF(入力!$B$2="男",成長曲線_男!P53,成長曲線_女!P53)</f>
        <v>20.5</v>
      </c>
      <c r="R55">
        <f>IF(入力!$B$2="男",成長曲線_男!Q53,成長曲線_女!Q53)</f>
        <v>18.150000000000002</v>
      </c>
      <c r="S55">
        <f>IF(入力!$B$2="男",成長曲線_男!R53,成長曲線_女!R53)</f>
        <v>13.450000000000001</v>
      </c>
      <c r="T55">
        <f>IF(入力!$B$2="男",成長曲線_男!S53,成長曲線_女!S53)</f>
        <v>11.100000000000001</v>
      </c>
      <c r="V55">
        <v>12.75</v>
      </c>
      <c r="W55">
        <f>IF(入力!$B$2="男",成長曲線_男!V53,成長曲線_女!V53)</f>
        <v>3.5</v>
      </c>
      <c r="X55">
        <f>IF(入力!$B$2="男",成長曲線_男!W53,成長曲線_女!W53)</f>
        <v>0.9</v>
      </c>
      <c r="Y55">
        <f>IF(入力!$B$2="男",成長曲線_男!X53,成長曲線_女!X53)</f>
        <v>5.3</v>
      </c>
      <c r="Z55">
        <f>IF(入力!$B$2="男",成長曲線_男!Y53,成長曲線_女!Y53)</f>
        <v>4.4000000000000004</v>
      </c>
      <c r="AA55">
        <f>IF(入力!$B$2="男",成長曲線_男!Z53,成長曲線_女!Z53)</f>
        <v>2.6</v>
      </c>
      <c r="AB55">
        <f>IF(入力!$B$2="男",成長曲線_男!AA53,成長曲線_女!AA53)</f>
        <v>1.7</v>
      </c>
      <c r="AE55">
        <f>IF($D55*12&lt;150,IF($D55*12&lt;IF(入力!$B$2="男",78,69),2,3),4)+IF(入力!$B$2="男",0,4)</f>
        <v>6</v>
      </c>
      <c r="AF55">
        <f t="shared" si="2"/>
        <v>-1.139297856437</v>
      </c>
      <c r="AG55">
        <f>IF($D55*12&lt;90,IF($D55*12&lt;26.75,IF($D55*12&lt;9.5,IF($D55*12&lt;2.5,2,3),4),5),6)+IF(入力!$B$2="男",0,6)+IF(AND(入力!$B$2&lt;&gt;"男",$D55*12&gt;=150),1,0)</f>
        <v>11</v>
      </c>
      <c r="AH55">
        <f t="shared" si="3"/>
        <v>15.267333906745</v>
      </c>
      <c r="AI55">
        <f>IF(($D55*12)&lt;90,2,3)+IF(入力!$B$2="男",0,3)</f>
        <v>5</v>
      </c>
      <c r="AJ55">
        <f t="shared" si="4"/>
        <v>8.8627594920000011E-2</v>
      </c>
      <c r="AK55">
        <f t="shared" ref="AK55:AK118" si="10">$AH55*(1+$AF55*$AJ55*AK$3)^(1/$AF55)</f>
        <v>13.106356961030484</v>
      </c>
      <c r="AL55">
        <f t="shared" si="9"/>
        <v>13.720695281601156</v>
      </c>
      <c r="AM55">
        <f t="shared" si="9"/>
        <v>14.409457651252039</v>
      </c>
      <c r="AN55">
        <f t="shared" si="9"/>
        <v>15.267333906745</v>
      </c>
      <c r="AO55">
        <f t="shared" si="9"/>
        <v>16.242429866019712</v>
      </c>
      <c r="AP55">
        <f t="shared" si="9"/>
        <v>17.241991868336012</v>
      </c>
      <c r="AQ55">
        <f t="shared" si="9"/>
        <v>18.367351279080367</v>
      </c>
    </row>
    <row r="56" spans="1:43" x14ac:dyDescent="0.15">
      <c r="A56">
        <f t="shared" si="8"/>
        <v>4</v>
      </c>
      <c r="B56" s="2">
        <v>4</v>
      </c>
      <c r="D56" s="3">
        <f t="shared" si="6"/>
        <v>4.333333333333333</v>
      </c>
      <c r="F56">
        <f>IF(入力!$B$2="男",成長曲線_男!E54,成長曲線_女!E54)</f>
        <v>101.7</v>
      </c>
      <c r="G56">
        <f>IF(入力!$B$2="男",成長曲線_男!F54,成長曲線_女!F54)</f>
        <v>3.9</v>
      </c>
      <c r="H56">
        <f>IF(入力!$B$2="男",成長曲線_男!G54,成長曲線_女!G54)</f>
        <v>109.5</v>
      </c>
      <c r="I56">
        <f>IF(入力!$B$2="男",成長曲線_男!H54,成長曲線_女!H54)</f>
        <v>105.60000000000001</v>
      </c>
      <c r="J56">
        <f>IF(入力!$B$2="男",成長曲線_男!I54,成長曲線_女!I54)</f>
        <v>97.8</v>
      </c>
      <c r="K56">
        <f>IF(入力!$B$2="男",成長曲線_男!J54,成長曲線_女!J54)</f>
        <v>93.9</v>
      </c>
      <c r="L56">
        <f>IF(入力!$B$2="男",成長曲線_男!K54,成長曲線_女!K54)</f>
        <v>91.95</v>
      </c>
      <c r="M56">
        <f>IF(入力!$B$2="男",成長曲線_男!L54,成長曲線_女!L54)</f>
        <v>90</v>
      </c>
      <c r="O56">
        <f>IF(入力!$B$2="男",成長曲線_男!N54,成長曲線_女!N54)</f>
        <v>15.9</v>
      </c>
      <c r="P56">
        <f>IF(入力!$B$2="男",成長曲線_男!O54,成長曲線_女!O54)</f>
        <v>2.2999999999999998</v>
      </c>
      <c r="Q56">
        <f>IF(入力!$B$2="男",成長曲線_男!P54,成長曲線_女!P54)</f>
        <v>20.5</v>
      </c>
      <c r="R56">
        <f>IF(入力!$B$2="男",成長曲線_男!Q54,成長曲線_女!Q54)</f>
        <v>18.2</v>
      </c>
      <c r="S56">
        <f>IF(入力!$B$2="男",成長曲線_男!R54,成長曲線_女!R54)</f>
        <v>13.600000000000001</v>
      </c>
      <c r="T56">
        <f>IF(入力!$B$2="男",成長曲線_男!S54,成長曲線_女!S54)</f>
        <v>11.3</v>
      </c>
      <c r="V56">
        <v>13</v>
      </c>
      <c r="W56">
        <f>IF(入力!$B$2="男",成長曲線_男!V54,成長曲線_女!V54)</f>
        <v>3</v>
      </c>
      <c r="X56">
        <f>IF(入力!$B$2="男",成長曲線_男!W54,成長曲線_女!W54)</f>
        <v>0.9</v>
      </c>
      <c r="Y56">
        <f>IF(入力!$B$2="男",成長曲線_男!X54,成長曲線_女!X54)</f>
        <v>4.8</v>
      </c>
      <c r="Z56">
        <f>IF(入力!$B$2="男",成長曲線_男!Y54,成長曲線_女!Y54)</f>
        <v>3.9</v>
      </c>
      <c r="AA56">
        <f>IF(入力!$B$2="男",成長曲線_男!Z54,成長曲線_女!Z54)</f>
        <v>2.1</v>
      </c>
      <c r="AB56">
        <f>IF(入力!$B$2="男",成長曲線_男!AA54,成長曲線_女!AA54)</f>
        <v>1.2</v>
      </c>
      <c r="AE56">
        <f>IF($D56*12&lt;150,IF($D56*12&lt;IF(入力!$B$2="男",78,69),2,3),4)+IF(入力!$B$2="男",0,4)</f>
        <v>6</v>
      </c>
      <c r="AF56">
        <f t="shared" si="2"/>
        <v>-1.1766206342959999</v>
      </c>
      <c r="AG56">
        <f>IF($D56*12&lt;90,IF($D56*12&lt;26.75,IF($D56*12&lt;9.5,IF($D56*12&lt;2.5,2,3),4),5),6)+IF(入力!$B$2="男",0,6)+IF(AND(入力!$B$2&lt;&gt;"男",$D56*12&gt;=150),1,0)</f>
        <v>11</v>
      </c>
      <c r="AH56">
        <f t="shared" si="3"/>
        <v>15.26792794296</v>
      </c>
      <c r="AI56">
        <f>IF(($D56*12)&lt;90,2,3)+IF(入力!$B$2="男",0,3)</f>
        <v>5</v>
      </c>
      <c r="AJ56">
        <f t="shared" si="4"/>
        <v>8.9279866960000009E-2</v>
      </c>
      <c r="AK56">
        <f t="shared" si="10"/>
        <v>13.098796529844</v>
      </c>
      <c r="AL56">
        <f t="shared" si="9"/>
        <v>13.713916929066619</v>
      </c>
      <c r="AM56">
        <f t="shared" si="9"/>
        <v>14.404976216424364</v>
      </c>
      <c r="AN56">
        <f t="shared" si="9"/>
        <v>15.26792794296</v>
      </c>
      <c r="AO56">
        <f t="shared" si="9"/>
        <v>16.251944779483249</v>
      </c>
      <c r="AP56">
        <f t="shared" si="9"/>
        <v>17.264326873567828</v>
      </c>
      <c r="AQ56">
        <f t="shared" si="9"/>
        <v>18.408812625110009</v>
      </c>
    </row>
    <row r="57" spans="1:43" x14ac:dyDescent="0.15">
      <c r="A57">
        <f t="shared" si="8"/>
        <v>4</v>
      </c>
      <c r="B57" s="2">
        <v>5</v>
      </c>
      <c r="D57" s="3">
        <f t="shared" si="6"/>
        <v>4.416666666666667</v>
      </c>
      <c r="F57">
        <f>IF(入力!$B$2="男",成長曲線_男!E55,成長曲線_女!E55)</f>
        <v>102.3</v>
      </c>
      <c r="G57">
        <f>IF(入力!$B$2="男",成長曲線_男!F55,成長曲線_女!F55)</f>
        <v>4</v>
      </c>
      <c r="H57">
        <f>IF(入力!$B$2="男",成長曲線_男!G55,成長曲線_女!G55)</f>
        <v>110.3</v>
      </c>
      <c r="I57">
        <f>IF(入力!$B$2="男",成長曲線_男!H55,成長曲線_女!H55)</f>
        <v>106.3</v>
      </c>
      <c r="J57">
        <f>IF(入力!$B$2="男",成長曲線_男!I55,成長曲線_女!I55)</f>
        <v>98.3</v>
      </c>
      <c r="K57">
        <f>IF(入力!$B$2="男",成長曲線_男!J55,成長曲線_女!J55)</f>
        <v>94.3</v>
      </c>
      <c r="L57">
        <f>IF(入力!$B$2="男",成長曲線_男!K55,成長曲線_女!K55)</f>
        <v>92.3</v>
      </c>
      <c r="M57">
        <f>IF(入力!$B$2="男",成長曲線_男!L55,成長曲線_女!L55)</f>
        <v>90.3</v>
      </c>
      <c r="O57">
        <f>IF(入力!$B$2="男",成長曲線_男!N55,成長曲線_女!N55)</f>
        <v>16.100000000000001</v>
      </c>
      <c r="P57">
        <f>IF(入力!$B$2="男",成長曲線_男!O55,成長曲線_女!O55)</f>
        <v>2.2400000000000002</v>
      </c>
      <c r="Q57">
        <f>IF(入力!$B$2="男",成長曲線_男!P55,成長曲線_女!P55)</f>
        <v>20.580000000000002</v>
      </c>
      <c r="R57">
        <f>IF(入力!$B$2="男",成長曲線_男!Q55,成長曲線_女!Q55)</f>
        <v>18.340000000000003</v>
      </c>
      <c r="S57">
        <f>IF(入力!$B$2="男",成長曲線_男!R55,成長曲線_女!R55)</f>
        <v>13.860000000000001</v>
      </c>
      <c r="T57">
        <f>IF(入力!$B$2="男",成長曲線_男!S55,成長曲線_女!S55)</f>
        <v>11.620000000000001</v>
      </c>
      <c r="V57">
        <v>13.25</v>
      </c>
      <c r="W57">
        <f>IF(入力!$B$2="男",成長曲線_男!V55,成長曲線_女!V55)</f>
        <v>2.5</v>
      </c>
      <c r="X57">
        <f>IF(入力!$B$2="男",成長曲線_男!W55,成長曲線_女!W55)</f>
        <v>0.8</v>
      </c>
      <c r="Y57">
        <f>IF(入力!$B$2="男",成長曲線_男!X55,成長曲線_女!X55)</f>
        <v>4.0999999999999996</v>
      </c>
      <c r="Z57">
        <f>IF(入力!$B$2="男",成長曲線_男!Y55,成長曲線_女!Y55)</f>
        <v>3.3</v>
      </c>
      <c r="AA57">
        <f>IF(入力!$B$2="男",成長曲線_男!Z55,成長曲線_女!Z55)</f>
        <v>1.7</v>
      </c>
      <c r="AB57">
        <f>IF(入力!$B$2="男",成長曲線_男!AA55,成長曲線_女!AA55)</f>
        <v>0.89999999999999991</v>
      </c>
      <c r="AE57">
        <f>IF($D57*12&lt;150,IF($D57*12&lt;IF(入力!$B$2="男",78,69),2,3),4)+IF(入力!$B$2="男",0,4)</f>
        <v>6</v>
      </c>
      <c r="AF57">
        <f t="shared" si="2"/>
        <v>-1.2138826718989999</v>
      </c>
      <c r="AG57">
        <f>IF($D57*12&lt;90,IF($D57*12&lt;26.75,IF($D57*12&lt;9.5,IF($D57*12&lt;2.5,2,3),4),5),6)+IF(入力!$B$2="男",0,6)+IF(AND(入力!$B$2&lt;&gt;"男",$D57*12&gt;=150),1,0)</f>
        <v>11</v>
      </c>
      <c r="AH57">
        <f t="shared" si="3"/>
        <v>15.269072503615</v>
      </c>
      <c r="AI57">
        <f>IF(($D57*12)&lt;90,2,3)+IF(入力!$B$2="男",0,3)</f>
        <v>5</v>
      </c>
      <c r="AJ57">
        <f t="shared" si="4"/>
        <v>8.9946653040000019E-2</v>
      </c>
      <c r="AK57">
        <f t="shared" si="10"/>
        <v>13.09152534837229</v>
      </c>
      <c r="AL57">
        <f t="shared" si="9"/>
        <v>13.707478252979854</v>
      </c>
      <c r="AM57">
        <f t="shared" si="9"/>
        <v>14.400907799262955</v>
      </c>
      <c r="AN57">
        <f t="shared" si="9"/>
        <v>15.269072503615</v>
      </c>
      <c r="AO57">
        <f t="shared" si="9"/>
        <v>16.262266843770185</v>
      </c>
      <c r="AP57">
        <f t="shared" si="9"/>
        <v>17.287896486093619</v>
      </c>
      <c r="AQ57">
        <f t="shared" si="9"/>
        <v>18.452269148234041</v>
      </c>
    </row>
    <row r="58" spans="1:43" x14ac:dyDescent="0.15">
      <c r="A58">
        <f t="shared" si="8"/>
        <v>4</v>
      </c>
      <c r="B58" s="2">
        <v>6</v>
      </c>
      <c r="D58" s="3">
        <f t="shared" si="6"/>
        <v>4.5</v>
      </c>
      <c r="F58">
        <f>IF(入力!$B$2="男",成長曲線_男!E56,成長曲線_女!E56)</f>
        <v>102.8</v>
      </c>
      <c r="G58">
        <f>IF(入力!$B$2="男",成長曲線_男!F56,成長曲線_女!F56)</f>
        <v>4</v>
      </c>
      <c r="H58">
        <f>IF(入力!$B$2="男",成長曲線_男!G56,成長曲線_女!G56)</f>
        <v>110.8</v>
      </c>
      <c r="I58">
        <f>IF(入力!$B$2="男",成長曲線_男!H56,成長曲線_女!H56)</f>
        <v>106.8</v>
      </c>
      <c r="J58">
        <f>IF(入力!$B$2="男",成長曲線_男!I56,成長曲線_女!I56)</f>
        <v>98.8</v>
      </c>
      <c r="K58">
        <f>IF(入力!$B$2="男",成長曲線_男!J56,成長曲線_女!J56)</f>
        <v>94.8</v>
      </c>
      <c r="L58">
        <f>IF(入力!$B$2="男",成長曲線_男!K56,成長曲線_女!K56)</f>
        <v>92.8</v>
      </c>
      <c r="M58">
        <f>IF(入力!$B$2="男",成長曲線_男!L56,成長曲線_女!L56)</f>
        <v>90.8</v>
      </c>
      <c r="O58">
        <f>IF(入力!$B$2="男",成長曲線_男!N56,成長曲線_女!N56)</f>
        <v>16.3</v>
      </c>
      <c r="P58">
        <f>IF(入力!$B$2="男",成長曲線_男!O56,成長曲線_女!O56)</f>
        <v>2.19</v>
      </c>
      <c r="Q58">
        <f>IF(入力!$B$2="男",成長曲線_男!P56,成長曲線_女!P56)</f>
        <v>20.68</v>
      </c>
      <c r="R58">
        <f>IF(入力!$B$2="男",成長曲線_男!Q56,成長曲線_女!Q56)</f>
        <v>18.490000000000002</v>
      </c>
      <c r="S58">
        <f>IF(入力!$B$2="男",成長曲線_男!R56,成長曲線_女!R56)</f>
        <v>14.110000000000001</v>
      </c>
      <c r="T58">
        <f>IF(入力!$B$2="男",成長曲線_男!S56,成長曲線_女!S56)</f>
        <v>11.920000000000002</v>
      </c>
      <c r="V58">
        <v>13.5</v>
      </c>
      <c r="W58">
        <f>IF(入力!$B$2="男",成長曲線_男!V56,成長曲線_女!V56)</f>
        <v>2.2000000000000002</v>
      </c>
      <c r="X58">
        <f>IF(入力!$B$2="男",成長曲線_男!W56,成長曲線_女!W56)</f>
        <v>0.7</v>
      </c>
      <c r="Y58">
        <f>IF(入力!$B$2="男",成長曲線_男!X56,成長曲線_女!X56)</f>
        <v>3.6</v>
      </c>
      <c r="Z58">
        <f>IF(入力!$B$2="男",成長曲線_男!Y56,成長曲線_女!Y56)</f>
        <v>2.9000000000000004</v>
      </c>
      <c r="AA58">
        <f>IF(入力!$B$2="男",成長曲線_男!Z56,成長曲線_女!Z56)</f>
        <v>1.5000000000000002</v>
      </c>
      <c r="AB58">
        <f>IF(入力!$B$2="男",成長曲線_男!AA56,成長曲線_女!AA56)</f>
        <v>0.80000000000000027</v>
      </c>
      <c r="AE58">
        <f>IF($D58*12&lt;150,IF($D58*12&lt;IF(入力!$B$2="男",78,69),2,3),4)+IF(入力!$B$2="男",0,4)</f>
        <v>6</v>
      </c>
      <c r="AF58">
        <f t="shared" si="2"/>
        <v>-1.2510818835680002</v>
      </c>
      <c r="AG58">
        <f>IF($D58*12&lt;90,IF($D58*12&lt;26.75,IF($D58*12&lt;9.5,IF($D58*12&lt;2.5,2,3),4),5),6)+IF(入力!$B$2="男",0,6)+IF(AND(入力!$B$2&lt;&gt;"男",$D58*12&gt;=150),1,0)</f>
        <v>11</v>
      </c>
      <c r="AH58">
        <f t="shared" si="3"/>
        <v>15.27076470868</v>
      </c>
      <c r="AI58">
        <f>IF(($D58*12)&lt;90,2,3)+IF(入力!$B$2="男",0,3)</f>
        <v>5</v>
      </c>
      <c r="AJ58">
        <f t="shared" si="4"/>
        <v>9.0627340080000007E-2</v>
      </c>
      <c r="AK58">
        <f t="shared" si="10"/>
        <v>13.084557340762199</v>
      </c>
      <c r="AL58">
        <f t="shared" si="9"/>
        <v>13.701388222891989</v>
      </c>
      <c r="AM58">
        <f t="shared" si="9"/>
        <v>14.397255768555679</v>
      </c>
      <c r="AN58">
        <f t="shared" si="9"/>
        <v>15.27076470868</v>
      </c>
      <c r="AO58">
        <f t="shared" si="9"/>
        <v>16.273389267531723</v>
      </c>
      <c r="AP58">
        <f t="shared" si="9"/>
        <v>17.312697819475442</v>
      </c>
      <c r="AQ58">
        <f t="shared" si="9"/>
        <v>18.497740755513469</v>
      </c>
    </row>
    <row r="59" spans="1:43" x14ac:dyDescent="0.15">
      <c r="A59">
        <f t="shared" si="8"/>
        <v>4</v>
      </c>
      <c r="B59" s="2">
        <v>7</v>
      </c>
      <c r="D59" s="3">
        <f t="shared" si="6"/>
        <v>4.583333333333333</v>
      </c>
      <c r="F59">
        <f>IF(入力!$B$2="男",成長曲線_男!E57,成長曲線_女!E57)</f>
        <v>103.4</v>
      </c>
      <c r="G59">
        <f>IF(入力!$B$2="男",成長曲線_男!F57,成長曲線_女!F57)</f>
        <v>4</v>
      </c>
      <c r="H59">
        <f>IF(入力!$B$2="男",成長曲線_男!G57,成長曲線_女!G57)</f>
        <v>111.4</v>
      </c>
      <c r="I59">
        <f>IF(入力!$B$2="男",成長曲線_男!H57,成長曲線_女!H57)</f>
        <v>107.4</v>
      </c>
      <c r="J59">
        <f>IF(入力!$B$2="男",成長曲線_男!I57,成長曲線_女!I57)</f>
        <v>99.4</v>
      </c>
      <c r="K59">
        <f>IF(入力!$B$2="男",成長曲線_男!J57,成長曲線_女!J57)</f>
        <v>95.4</v>
      </c>
      <c r="L59">
        <f>IF(入力!$B$2="男",成長曲線_男!K57,成長曲線_女!K57)</f>
        <v>93.4</v>
      </c>
      <c r="M59">
        <f>IF(入力!$B$2="男",成長曲線_男!L57,成長曲線_女!L57)</f>
        <v>91.4</v>
      </c>
      <c r="O59">
        <f>IF(入力!$B$2="男",成長曲線_男!N57,成長曲線_女!N57)</f>
        <v>16.399999999999999</v>
      </c>
      <c r="P59">
        <f>IF(入力!$B$2="男",成長曲線_男!O57,成長曲線_女!O57)</f>
        <v>2.14</v>
      </c>
      <c r="Q59">
        <f>IF(入力!$B$2="男",成長曲線_男!P57,成長曲線_女!P57)</f>
        <v>20.68</v>
      </c>
      <c r="R59">
        <f>IF(入力!$B$2="男",成長曲線_男!Q57,成長曲線_女!Q57)</f>
        <v>18.54</v>
      </c>
      <c r="S59">
        <f>IF(入力!$B$2="男",成長曲線_男!R57,成長曲線_女!R57)</f>
        <v>14.259999999999998</v>
      </c>
      <c r="T59">
        <f>IF(入力!$B$2="男",成長曲線_男!S57,成長曲線_女!S57)</f>
        <v>12.119999999999997</v>
      </c>
      <c r="V59">
        <v>13.75</v>
      </c>
      <c r="W59">
        <f>IF(入力!$B$2="男",成長曲線_男!V57,成長曲線_女!V57)</f>
        <v>1.8</v>
      </c>
      <c r="X59">
        <f>IF(入力!$B$2="男",成長曲線_男!W57,成長曲線_女!W57)</f>
        <v>0.7</v>
      </c>
      <c r="Y59">
        <f>IF(入力!$B$2="男",成長曲線_男!X57,成長曲線_女!X57)</f>
        <v>3.2</v>
      </c>
      <c r="Z59">
        <f>IF(入力!$B$2="男",成長曲線_男!Y57,成長曲線_女!Y57)</f>
        <v>2.5</v>
      </c>
      <c r="AA59">
        <f>IF(入力!$B$2="男",成長曲線_男!Z57,成長曲線_女!Z57)</f>
        <v>1.1000000000000001</v>
      </c>
      <c r="AB59">
        <f>IF(入力!$B$2="男",成長曲線_男!AA57,成長曲線_女!AA57)</f>
        <v>0.40000000000000013</v>
      </c>
      <c r="AE59">
        <f>IF($D59*12&lt;150,IF($D59*12&lt;IF(入力!$B$2="男",78,69),2,3),4)+IF(入力!$B$2="男",0,4)</f>
        <v>6</v>
      </c>
      <c r="AF59">
        <f t="shared" si="2"/>
        <v>-1.2882161836250003</v>
      </c>
      <c r="AG59">
        <f>IF($D59*12&lt;90,IF($D59*12&lt;26.75,IF($D59*12&lt;9.5,IF($D59*12&lt;2.5,2,3),4),5),6)+IF(入力!$B$2="男",0,6)+IF(AND(入力!$B$2&lt;&gt;"男",$D59*12&gt;=150),1,0)</f>
        <v>11</v>
      </c>
      <c r="AH59">
        <f t="shared" si="3"/>
        <v>15.273001678124999</v>
      </c>
      <c r="AI59">
        <f>IF(($D59*12)&lt;90,2,3)+IF(入力!$B$2="男",0,3)</f>
        <v>5</v>
      </c>
      <c r="AJ59">
        <f t="shared" si="4"/>
        <v>9.1321315000000014E-2</v>
      </c>
      <c r="AK59">
        <f t="shared" si="10"/>
        <v>13.07790602313497</v>
      </c>
      <c r="AL59">
        <f t="shared" si="9"/>
        <v>13.695655592667975</v>
      </c>
      <c r="AM59">
        <f t="shared" si="9"/>
        <v>14.394023421475463</v>
      </c>
      <c r="AN59">
        <f t="shared" si="9"/>
        <v>15.273001678124999</v>
      </c>
      <c r="AO59">
        <f t="shared" si="9"/>
        <v>16.285305267100135</v>
      </c>
      <c r="AP59">
        <f t="shared" si="9"/>
        <v>17.338728197439927</v>
      </c>
      <c r="AQ59">
        <f t="shared" si="9"/>
        <v>18.545248858342017</v>
      </c>
    </row>
    <row r="60" spans="1:43" x14ac:dyDescent="0.15">
      <c r="A60">
        <f t="shared" si="8"/>
        <v>4</v>
      </c>
      <c r="B60" s="2">
        <v>8</v>
      </c>
      <c r="D60" s="3">
        <f t="shared" si="6"/>
        <v>4.666666666666667</v>
      </c>
      <c r="F60">
        <f>IF(入力!$B$2="男",成長曲線_男!E58,成長曲線_女!E58)</f>
        <v>103.9</v>
      </c>
      <c r="G60">
        <f>IF(入力!$B$2="男",成長曲線_男!F58,成長曲線_女!F58)</f>
        <v>4.0999999999999996</v>
      </c>
      <c r="H60">
        <f>IF(入力!$B$2="男",成長曲線_男!G58,成長曲線_女!G58)</f>
        <v>112.10000000000001</v>
      </c>
      <c r="I60">
        <f>IF(入力!$B$2="男",成長曲線_男!H58,成長曲線_女!H58)</f>
        <v>108</v>
      </c>
      <c r="J60">
        <f>IF(入力!$B$2="男",成長曲線_男!I58,成長曲線_女!I58)</f>
        <v>99.800000000000011</v>
      </c>
      <c r="K60">
        <f>IF(入力!$B$2="男",成長曲線_男!J58,成長曲線_女!J58)</f>
        <v>95.7</v>
      </c>
      <c r="L60">
        <f>IF(入力!$B$2="男",成長曲線_男!K58,成長曲線_女!K58)</f>
        <v>93.65</v>
      </c>
      <c r="M60">
        <f>IF(入力!$B$2="男",成長曲線_男!L58,成長曲線_女!L58)</f>
        <v>91.600000000000009</v>
      </c>
      <c r="O60">
        <f>IF(入力!$B$2="男",成長曲線_男!N58,成長曲線_女!N58)</f>
        <v>16.600000000000001</v>
      </c>
      <c r="P60">
        <f>IF(入力!$B$2="男",成長曲線_男!O58,成長曲線_女!O58)</f>
        <v>2.08</v>
      </c>
      <c r="Q60">
        <f>IF(入力!$B$2="男",成長曲線_男!P58,成長曲線_女!P58)</f>
        <v>20.76</v>
      </c>
      <c r="R60">
        <f>IF(入力!$B$2="男",成長曲線_男!Q58,成長曲線_女!Q58)</f>
        <v>18.68</v>
      </c>
      <c r="S60">
        <f>IF(入力!$B$2="男",成長曲線_男!R58,成長曲線_女!R58)</f>
        <v>14.520000000000001</v>
      </c>
      <c r="T60">
        <f>IF(入力!$B$2="男",成長曲線_男!S58,成長曲線_女!S58)</f>
        <v>12.440000000000001</v>
      </c>
      <c r="V60">
        <v>14</v>
      </c>
      <c r="W60">
        <f>IF(入力!$B$2="男",成長曲線_男!V58,成長曲線_女!V58)</f>
        <v>1.5</v>
      </c>
      <c r="X60">
        <f>IF(入力!$B$2="男",成長曲線_男!W58,成長曲線_女!W58)</f>
        <v>0.6</v>
      </c>
      <c r="Y60">
        <f>IF(入力!$B$2="男",成長曲線_男!X58,成長曲線_女!X58)</f>
        <v>2.7</v>
      </c>
      <c r="Z60">
        <f>IF(入力!$B$2="男",成長曲線_男!Y58,成長曲線_女!Y58)</f>
        <v>2.1</v>
      </c>
      <c r="AA60">
        <f>IF(入力!$B$2="男",成長曲線_男!Z58,成長曲線_女!Z58)</f>
        <v>0.9</v>
      </c>
      <c r="AB60">
        <f>IF(入力!$B$2="男",成長曲線_男!AA58,成長曲線_女!AA58)</f>
        <v>0.30000000000000004</v>
      </c>
      <c r="AE60">
        <f>IF($D60*12&lt;150,IF($D60*12&lt;IF(入力!$B$2="男",78,69),2,3),4)+IF(入力!$B$2="男",0,4)</f>
        <v>6</v>
      </c>
      <c r="AF60">
        <f t="shared" si="2"/>
        <v>-1.3252834863920002</v>
      </c>
      <c r="AG60">
        <f>IF($D60*12&lt;90,IF($D60*12&lt;26.75,IF($D60*12&lt;9.5,IF($D60*12&lt;2.5,2,3),4),5),6)+IF(入力!$B$2="男",0,6)+IF(AND(入力!$B$2&lt;&gt;"男",$D60*12&gt;=150),1,0)</f>
        <v>11</v>
      </c>
      <c r="AH60">
        <f t="shared" si="3"/>
        <v>15.275780531919999</v>
      </c>
      <c r="AI60">
        <f>IF(($D60*12)&lt;90,2,3)+IF(入力!$B$2="男",0,3)</f>
        <v>5</v>
      </c>
      <c r="AJ60">
        <f t="shared" si="4"/>
        <v>9.2027964719999994E-2</v>
      </c>
      <c r="AK60">
        <f t="shared" si="10"/>
        <v>13.07158450633125</v>
      </c>
      <c r="AL60">
        <f t="shared" si="9"/>
        <v>13.690288901248302</v>
      </c>
      <c r="AM60">
        <f t="shared" si="9"/>
        <v>14.391213984249941</v>
      </c>
      <c r="AN60">
        <f t="shared" si="9"/>
        <v>15.275780531919999</v>
      </c>
      <c r="AO60">
        <f t="shared" si="9"/>
        <v>16.298008060988174</v>
      </c>
      <c r="AP60">
        <f t="shared" si="9"/>
        <v>17.365985146332303</v>
      </c>
      <c r="AQ60">
        <f t="shared" si="9"/>
        <v>18.594816434572902</v>
      </c>
    </row>
    <row r="61" spans="1:43" x14ac:dyDescent="0.15">
      <c r="A61">
        <f t="shared" si="8"/>
        <v>4</v>
      </c>
      <c r="B61" s="2">
        <v>9</v>
      </c>
      <c r="D61" s="3">
        <f t="shared" si="6"/>
        <v>4.75</v>
      </c>
      <c r="F61">
        <f>IF(入力!$B$2="男",成長曲線_男!E59,成長曲線_女!E59)</f>
        <v>104.5</v>
      </c>
      <c r="G61">
        <f>IF(入力!$B$2="男",成長曲線_男!F59,成長曲線_女!F59)</f>
        <v>4.0999999999999996</v>
      </c>
      <c r="H61">
        <f>IF(入力!$B$2="男",成長曲線_男!G59,成長曲線_女!G59)</f>
        <v>112.7</v>
      </c>
      <c r="I61">
        <f>IF(入力!$B$2="男",成長曲線_男!H59,成長曲線_女!H59)</f>
        <v>108.6</v>
      </c>
      <c r="J61">
        <f>IF(入力!$B$2="男",成長曲線_男!I59,成長曲線_女!I59)</f>
        <v>100.4</v>
      </c>
      <c r="K61">
        <f>IF(入力!$B$2="男",成長曲線_男!J59,成長曲線_女!J59)</f>
        <v>96.3</v>
      </c>
      <c r="L61">
        <f>IF(入力!$B$2="男",成長曲線_男!K59,成長曲線_女!K59)</f>
        <v>94.25</v>
      </c>
      <c r="M61">
        <f>IF(入力!$B$2="男",成長曲線_男!L59,成長曲線_女!L59)</f>
        <v>92.2</v>
      </c>
      <c r="O61">
        <f>IF(入力!$B$2="男",成長曲線_男!N59,成長曲線_女!N59)</f>
        <v>16.8</v>
      </c>
      <c r="P61">
        <f>IF(入力!$B$2="男",成長曲線_男!O59,成長曲線_女!O59)</f>
        <v>2.0299999999999998</v>
      </c>
      <c r="Q61">
        <f>IF(入力!$B$2="男",成長曲線_男!P59,成長曲線_女!P59)</f>
        <v>20.86</v>
      </c>
      <c r="R61">
        <f>IF(入力!$B$2="男",成長曲線_男!Q59,成長曲線_女!Q59)</f>
        <v>18.830000000000002</v>
      </c>
      <c r="S61">
        <f>IF(入力!$B$2="男",成長曲線_男!R59,成長曲線_女!R59)</f>
        <v>14.770000000000001</v>
      </c>
      <c r="T61">
        <f>IF(入力!$B$2="男",成長曲線_男!S59,成長曲線_女!S59)</f>
        <v>12.740000000000002</v>
      </c>
      <c r="V61">
        <v>14.25</v>
      </c>
      <c r="W61">
        <f>IF(入力!$B$2="男",成長曲線_男!V59,成長曲線_女!V59)</f>
        <v>1.3</v>
      </c>
      <c r="X61">
        <f>IF(入力!$B$2="男",成長曲線_男!W59,成長曲線_女!W59)</f>
        <v>0.6</v>
      </c>
      <c r="Y61">
        <f>IF(入力!$B$2="男",成長曲線_男!X59,成長曲線_女!X59)</f>
        <v>2.5</v>
      </c>
      <c r="Z61">
        <f>IF(入力!$B$2="男",成長曲線_男!Y59,成長曲線_女!Y59)</f>
        <v>1.9</v>
      </c>
      <c r="AA61">
        <f>IF(入力!$B$2="男",成長曲線_男!Z59,成長曲線_女!Z59)</f>
        <v>0.70000000000000007</v>
      </c>
      <c r="AB61">
        <f>IF(入力!$B$2="男",成長曲線_男!AA59,成長曲線_女!AA59)</f>
        <v>0.10000000000000009</v>
      </c>
      <c r="AE61">
        <f>IF($D61*12&lt;150,IF($D61*12&lt;IF(入力!$B$2="男",78,69),2,3),4)+IF(入力!$B$2="男",0,4)</f>
        <v>6</v>
      </c>
      <c r="AF61">
        <f t="shared" si="2"/>
        <v>-1.3622817061909998</v>
      </c>
      <c r="AG61">
        <f>IF($D61*12&lt;90,IF($D61*12&lt;26.75,IF($D61*12&lt;9.5,IF($D61*12&lt;2.5,2,3),4),5),6)+IF(入力!$B$2="男",0,6)+IF(AND(入力!$B$2&lt;&gt;"男",$D61*12&gt;=150),1,0)</f>
        <v>11</v>
      </c>
      <c r="AH61">
        <f t="shared" si="3"/>
        <v>15.279098390034999</v>
      </c>
      <c r="AI61">
        <f>IF(($D61*12)&lt;90,2,3)+IF(入力!$B$2="男",0,3)</f>
        <v>5</v>
      </c>
      <c r="AJ61">
        <f t="shared" si="4"/>
        <v>9.2746676160000013E-2</v>
      </c>
      <c r="AK61">
        <f t="shared" si="10"/>
        <v>13.065605498836996</v>
      </c>
      <c r="AL61">
        <f t="shared" si="9"/>
        <v>13.685296473444634</v>
      </c>
      <c r="AM61">
        <f t="shared" si="9"/>
        <v>14.388830612797157</v>
      </c>
      <c r="AN61">
        <f t="shared" si="9"/>
        <v>15.279098390034999</v>
      </c>
      <c r="AO61">
        <f t="shared" si="9"/>
        <v>16.311490864216879</v>
      </c>
      <c r="AP61">
        <f t="shared" si="9"/>
        <v>17.394466386923117</v>
      </c>
      <c r="AQ61">
        <f t="shared" si="9"/>
        <v>18.64646809457922</v>
      </c>
    </row>
    <row r="62" spans="1:43" x14ac:dyDescent="0.15">
      <c r="A62">
        <f t="shared" si="8"/>
        <v>4</v>
      </c>
      <c r="B62" s="2">
        <v>10</v>
      </c>
      <c r="D62" s="3">
        <f t="shared" si="6"/>
        <v>4.833333333333333</v>
      </c>
      <c r="F62">
        <f>IF(入力!$B$2="男",成長曲線_男!E60,成長曲線_女!E60)</f>
        <v>105</v>
      </c>
      <c r="G62">
        <f>IF(入力!$B$2="男",成長曲線_男!F60,成長曲線_女!F60)</f>
        <v>4.0999999999999996</v>
      </c>
      <c r="H62">
        <f>IF(入力!$B$2="男",成長曲線_男!G60,成長曲線_女!G60)</f>
        <v>113.2</v>
      </c>
      <c r="I62">
        <f>IF(入力!$B$2="男",成長曲線_男!H60,成長曲線_女!H60)</f>
        <v>109.1</v>
      </c>
      <c r="J62">
        <f>IF(入力!$B$2="男",成長曲線_男!I60,成長曲線_女!I60)</f>
        <v>100.9</v>
      </c>
      <c r="K62">
        <f>IF(入力!$B$2="男",成長曲線_男!J60,成長曲線_女!J60)</f>
        <v>96.8</v>
      </c>
      <c r="L62">
        <f>IF(入力!$B$2="男",成長曲線_男!K60,成長曲線_女!K60)</f>
        <v>94.75</v>
      </c>
      <c r="M62">
        <f>IF(入力!$B$2="男",成長曲線_男!L60,成長曲線_女!L60)</f>
        <v>92.7</v>
      </c>
      <c r="O62">
        <f>IF(入力!$B$2="男",成長曲線_男!N60,成長曲線_女!N60)</f>
        <v>17</v>
      </c>
      <c r="P62">
        <f>IF(入力!$B$2="男",成長曲線_男!O60,成長曲線_女!O60)</f>
        <v>2.12</v>
      </c>
      <c r="Q62">
        <f>IF(入力!$B$2="男",成長曲線_男!P60,成長曲線_女!P60)</f>
        <v>21.240000000000002</v>
      </c>
      <c r="R62">
        <f>IF(入力!$B$2="男",成長曲線_男!Q60,成長曲線_女!Q60)</f>
        <v>19.12</v>
      </c>
      <c r="S62">
        <f>IF(入力!$B$2="男",成長曲線_男!R60,成長曲線_女!R60)</f>
        <v>14.879999999999999</v>
      </c>
      <c r="T62">
        <f>IF(入力!$B$2="男",成長曲線_男!S60,成長曲線_女!S60)</f>
        <v>12.76</v>
      </c>
      <c r="V62">
        <v>14.5</v>
      </c>
      <c r="W62">
        <f>IF(入力!$B$2="男",成長曲線_男!V60,成長曲線_女!V60)</f>
        <v>1.1000000000000001</v>
      </c>
      <c r="X62">
        <f>IF(入力!$B$2="男",成長曲線_男!W60,成長曲線_女!W60)</f>
        <v>0.5</v>
      </c>
      <c r="Y62">
        <f>IF(入力!$B$2="男",成長曲線_男!X60,成長曲線_女!X60)</f>
        <v>2.1</v>
      </c>
      <c r="Z62">
        <f>IF(入力!$B$2="男",成長曲線_男!Y60,成長曲線_女!Y60)</f>
        <v>1.6</v>
      </c>
      <c r="AA62">
        <f>IF(入力!$B$2="男",成長曲線_男!Z60,成長曲線_女!Z60)</f>
        <v>0.60000000000000009</v>
      </c>
      <c r="AB62">
        <f>IF(入力!$B$2="男",成長曲線_男!AA60,成長曲線_女!AA60)</f>
        <v>0.10000000000000009</v>
      </c>
      <c r="AE62">
        <f>IF($D62*12&lt;150,IF($D62*12&lt;IF(入力!$B$2="男",78,69),2,3),4)+IF(入力!$B$2="男",0,4)</f>
        <v>6</v>
      </c>
      <c r="AF62">
        <f t="shared" si="2"/>
        <v>-1.3992087573440002</v>
      </c>
      <c r="AG62">
        <f>IF($D62*12&lt;90,IF($D62*12&lt;26.75,IF($D62*12&lt;9.5,IF($D62*12&lt;2.5,2,3),4),5),6)+IF(入力!$B$2="男",0,6)+IF(AND(入力!$B$2&lt;&gt;"男",$D62*12&gt;=150),1,0)</f>
        <v>11</v>
      </c>
      <c r="AH62">
        <f t="shared" si="3"/>
        <v>15.28295237244</v>
      </c>
      <c r="AI62">
        <f>IF(($D62*12)&lt;90,2,3)+IF(入力!$B$2="男",0,3)</f>
        <v>5</v>
      </c>
      <c r="AJ62">
        <f t="shared" si="4"/>
        <v>9.347683624E-2</v>
      </c>
      <c r="AK62">
        <f t="shared" si="10"/>
        <v>13.059981309921659</v>
      </c>
      <c r="AL62">
        <f t="shared" si="9"/>
        <v>13.680686420790778</v>
      </c>
      <c r="AM62">
        <f t="shared" si="9"/>
        <v>14.386876393334777</v>
      </c>
      <c r="AN62">
        <f t="shared" si="9"/>
        <v>15.28295237244</v>
      </c>
      <c r="AO62">
        <f t="shared" si="9"/>
        <v>16.325746882470145</v>
      </c>
      <c r="AP62">
        <f t="shared" si="9"/>
        <v>17.424169825530488</v>
      </c>
      <c r="AQ62">
        <f t="shared" si="9"/>
        <v>18.70023015157993</v>
      </c>
    </row>
    <row r="63" spans="1:43" x14ac:dyDescent="0.15">
      <c r="A63">
        <f t="shared" si="8"/>
        <v>4</v>
      </c>
      <c r="B63" s="2">
        <v>11</v>
      </c>
      <c r="D63" s="3">
        <f t="shared" si="6"/>
        <v>4.916666666666667</v>
      </c>
      <c r="F63">
        <f>IF(入力!$B$2="男",成長曲線_男!E61,成長曲線_女!E61)</f>
        <v>105.6</v>
      </c>
      <c r="G63">
        <f>IF(入力!$B$2="男",成長曲線_男!F61,成長曲線_女!F61)</f>
        <v>4.2</v>
      </c>
      <c r="H63">
        <f>IF(入力!$B$2="男",成長曲線_男!G61,成長曲線_女!G61)</f>
        <v>114</v>
      </c>
      <c r="I63">
        <f>IF(入力!$B$2="男",成長曲線_男!H61,成長曲線_女!H61)</f>
        <v>109.8</v>
      </c>
      <c r="J63">
        <f>IF(入力!$B$2="男",成長曲線_男!I61,成長曲線_女!I61)</f>
        <v>101.39999999999999</v>
      </c>
      <c r="K63">
        <f>IF(入力!$B$2="男",成長曲線_男!J61,成長曲線_女!J61)</f>
        <v>97.199999999999989</v>
      </c>
      <c r="L63">
        <f>IF(入力!$B$2="男",成長曲線_男!K61,成長曲線_女!K61)</f>
        <v>95.1</v>
      </c>
      <c r="M63">
        <f>IF(入力!$B$2="男",成長曲線_男!L61,成長曲線_女!L61)</f>
        <v>93</v>
      </c>
      <c r="O63">
        <f>IF(入力!$B$2="男",成長曲線_男!N61,成長曲線_女!N61)</f>
        <v>17.2</v>
      </c>
      <c r="P63">
        <f>IF(入力!$B$2="男",成長曲線_男!O61,成長曲線_女!O61)</f>
        <v>2.2200000000000002</v>
      </c>
      <c r="Q63">
        <f>IF(入力!$B$2="男",成長曲線_男!P61,成長曲線_女!P61)</f>
        <v>21.64</v>
      </c>
      <c r="R63">
        <f>IF(入力!$B$2="男",成長曲線_男!Q61,成長曲線_女!Q61)</f>
        <v>19.419999999999998</v>
      </c>
      <c r="S63">
        <f>IF(入力!$B$2="男",成長曲線_男!R61,成長曲線_女!R61)</f>
        <v>14.979999999999999</v>
      </c>
      <c r="T63">
        <f>IF(入力!$B$2="男",成長曲線_男!S61,成長曲線_女!S61)</f>
        <v>12.759999999999998</v>
      </c>
      <c r="V63">
        <v>14.75</v>
      </c>
      <c r="W63">
        <f>IF(入力!$B$2="男",成長曲線_男!V61,成長曲線_女!V61)</f>
        <v>0.9</v>
      </c>
      <c r="X63">
        <f>IF(入力!$B$2="男",成長曲線_男!W61,成長曲線_女!W61)</f>
        <v>0.5</v>
      </c>
      <c r="Y63">
        <f>IF(入力!$B$2="男",成長曲線_男!X61,成長曲線_女!X61)</f>
        <v>1.9</v>
      </c>
      <c r="Z63">
        <f>IF(入力!$B$2="男",成長曲線_男!Y61,成長曲線_女!Y61)</f>
        <v>1.4</v>
      </c>
      <c r="AA63">
        <f>IF(入力!$B$2="男",成長曲線_男!Z61,成長曲線_女!Z61)</f>
        <v>0.4</v>
      </c>
      <c r="AB63">
        <f>IF(入力!$B$2="男",成長曲線_男!AA61,成長曲線_女!AA61)</f>
        <v>0</v>
      </c>
      <c r="AE63">
        <f>IF($D63*12&lt;150,IF($D63*12&lt;IF(入力!$B$2="男",78,69),2,3),4)+IF(入力!$B$2="男",0,4)</f>
        <v>6</v>
      </c>
      <c r="AF63">
        <f t="shared" si="2"/>
        <v>-1.4360625541730001</v>
      </c>
      <c r="AG63">
        <f>IF($D63*12&lt;90,IF($D63*12&lt;26.75,IF($D63*12&lt;9.5,IF($D63*12&lt;2.5,2,3),4),5),6)+IF(入力!$B$2="男",0,6)+IF(AND(入力!$B$2&lt;&gt;"男",$D63*12&gt;=150),1,0)</f>
        <v>11</v>
      </c>
      <c r="AH63">
        <f t="shared" si="3"/>
        <v>15.287339599105</v>
      </c>
      <c r="AI63">
        <f>IF(($D63*12)&lt;90,2,3)+IF(入力!$B$2="男",0,3)</f>
        <v>5</v>
      </c>
      <c r="AJ63">
        <f t="shared" si="4"/>
        <v>9.4217831880000019E-2</v>
      </c>
      <c r="AK63">
        <f t="shared" si="10"/>
        <v>13.054723853015638</v>
      </c>
      <c r="AL63">
        <f t="shared" si="9"/>
        <v>13.676466642468299</v>
      </c>
      <c r="AM63">
        <f t="shared" si="9"/>
        <v>14.385354342969869</v>
      </c>
      <c r="AN63">
        <f t="shared" si="9"/>
        <v>15.287339599105</v>
      </c>
      <c r="AO63">
        <f t="shared" si="9"/>
        <v>16.340769306074485</v>
      </c>
      <c r="AP63">
        <f t="shared" si="9"/>
        <v>17.455093544416847</v>
      </c>
      <c r="AQ63">
        <f t="shared" si="9"/>
        <v>18.756130696590755</v>
      </c>
    </row>
    <row r="64" spans="1:43" x14ac:dyDescent="0.15">
      <c r="A64">
        <f t="shared" si="8"/>
        <v>5</v>
      </c>
      <c r="B64" s="2">
        <v>0</v>
      </c>
      <c r="D64" s="3">
        <f t="shared" si="6"/>
        <v>5</v>
      </c>
      <c r="F64">
        <f>IF(入力!$B$2="男",成長曲線_男!E62,成長曲線_女!E62)</f>
        <v>106.2</v>
      </c>
      <c r="G64">
        <f>IF(入力!$B$2="男",成長曲線_男!F62,成長曲線_女!F62)</f>
        <v>4.2</v>
      </c>
      <c r="H64">
        <f>IF(入力!$B$2="男",成長曲線_男!G62,成長曲線_女!G62)</f>
        <v>114.60000000000001</v>
      </c>
      <c r="I64">
        <f>IF(入力!$B$2="男",成長曲線_男!H62,成長曲線_女!H62)</f>
        <v>110.4</v>
      </c>
      <c r="J64">
        <f>IF(入力!$B$2="男",成長曲線_男!I62,成長曲線_女!I62)</f>
        <v>102</v>
      </c>
      <c r="K64">
        <f>IF(入力!$B$2="男",成長曲線_男!J62,成長曲線_女!J62)</f>
        <v>97.8</v>
      </c>
      <c r="L64">
        <f>IF(入力!$B$2="男",成長曲線_男!K62,成長曲線_女!K62)</f>
        <v>95.7</v>
      </c>
      <c r="M64">
        <f>IF(入力!$B$2="男",成長曲線_男!L62,成長曲線_女!L62)</f>
        <v>93.6</v>
      </c>
      <c r="O64">
        <f>IF(入力!$B$2="男",成長曲線_男!N62,成長曲線_女!N62)</f>
        <v>17.399999999999999</v>
      </c>
      <c r="P64">
        <f>IF(入力!$B$2="男",成長曲線_男!O62,成長曲線_女!O62)</f>
        <v>2.31</v>
      </c>
      <c r="Q64">
        <f>IF(入力!$B$2="男",成長曲線_男!P62,成長曲線_女!P62)</f>
        <v>22.02</v>
      </c>
      <c r="R64">
        <f>IF(入力!$B$2="男",成長曲線_男!Q62,成長曲線_女!Q62)</f>
        <v>19.709999999999997</v>
      </c>
      <c r="S64">
        <f>IF(入力!$B$2="男",成長曲線_男!R62,成長曲線_女!R62)</f>
        <v>15.089999999999998</v>
      </c>
      <c r="T64">
        <f>IF(入力!$B$2="男",成長曲線_男!S62,成長曲線_女!S62)</f>
        <v>12.779999999999998</v>
      </c>
      <c r="V64">
        <v>15</v>
      </c>
      <c r="W64">
        <f>IF(入力!$B$2="男",成長曲線_男!V62,成長曲線_女!V62)</f>
        <v>0.8</v>
      </c>
      <c r="X64">
        <f>IF(入力!$B$2="男",成長曲線_男!W62,成長曲線_女!W62)</f>
        <v>0.4</v>
      </c>
      <c r="Y64">
        <f>IF(入力!$B$2="男",成長曲線_男!X62,成長曲線_女!X62)</f>
        <v>1.6</v>
      </c>
      <c r="Z64">
        <f>IF(入力!$B$2="男",成長曲線_男!Y62,成長曲線_女!Y62)</f>
        <v>1.2000000000000002</v>
      </c>
      <c r="AA64">
        <f>IF(入力!$B$2="男",成長曲線_男!Z62,成長曲線_女!Z62)</f>
        <v>0.4</v>
      </c>
      <c r="AB64">
        <f>IF(入力!$B$2="男",成長曲線_男!AA62,成長曲線_女!AA62)</f>
        <v>0</v>
      </c>
      <c r="AE64">
        <f>IF($D64*12&lt;150,IF($D64*12&lt;IF(入力!$B$2="男",78,69),2,3),4)+IF(入力!$B$2="男",0,4)</f>
        <v>6</v>
      </c>
      <c r="AF64">
        <f t="shared" si="2"/>
        <v>-1.4728410110000003</v>
      </c>
      <c r="AG64">
        <f>IF($D64*12&lt;90,IF($D64*12&lt;26.75,IF($D64*12&lt;9.5,IF($D64*12&lt;2.5,2,3),4),5),6)+IF(入力!$B$2="男",0,6)+IF(AND(入力!$B$2&lt;&gt;"男",$D64*12&gt;=150),1,0)</f>
        <v>11</v>
      </c>
      <c r="AH64">
        <f t="shared" si="3"/>
        <v>15.292257189999999</v>
      </c>
      <c r="AI64">
        <f>IF(($D64*12)&lt;90,2,3)+IF(入力!$B$2="男",0,3)</f>
        <v>5</v>
      </c>
      <c r="AJ64">
        <f t="shared" si="4"/>
        <v>9.4969050000000013E-2</v>
      </c>
      <c r="AK64">
        <f t="shared" si="10"/>
        <v>13.049844649350085</v>
      </c>
      <c r="AL64">
        <f t="shared" si="9"/>
        <v>13.672644826324772</v>
      </c>
      <c r="AM64">
        <f t="shared" si="9"/>
        <v>14.38426741027612</v>
      </c>
      <c r="AN64">
        <f t="shared" si="9"/>
        <v>15.292257189999999</v>
      </c>
      <c r="AO64">
        <f t="shared" si="9"/>
        <v>16.356551303802092</v>
      </c>
      <c r="AP64">
        <f t="shared" si="9"/>
        <v>17.48723579141458</v>
      </c>
      <c r="AQ64">
        <f t="shared" si="9"/>
        <v>18.814199678388793</v>
      </c>
    </row>
    <row r="65" spans="1:43" x14ac:dyDescent="0.15">
      <c r="A65">
        <f t="shared" si="8"/>
        <v>5</v>
      </c>
      <c r="B65" s="2">
        <v>1</v>
      </c>
      <c r="D65" s="3">
        <f t="shared" si="6"/>
        <v>5.083333333333333</v>
      </c>
      <c r="F65">
        <f>IF(入力!$B$2="男",成長曲線_男!E63,成長曲線_女!E63)</f>
        <v>106.7</v>
      </c>
      <c r="G65">
        <f>IF(入力!$B$2="男",成長曲線_男!F63,成長曲線_女!F63)</f>
        <v>4.3</v>
      </c>
      <c r="H65">
        <f>IF(入力!$B$2="男",成長曲線_男!G63,成長曲線_女!G63)</f>
        <v>115.3</v>
      </c>
      <c r="I65">
        <f>IF(入力!$B$2="男",成長曲線_男!H63,成長曲線_女!H63)</f>
        <v>111</v>
      </c>
      <c r="J65">
        <f>IF(入力!$B$2="男",成長曲線_男!I63,成長曲線_女!I63)</f>
        <v>102.4</v>
      </c>
      <c r="K65">
        <f>IF(入力!$B$2="男",成長曲線_男!J63,成長曲線_女!J63)</f>
        <v>98.100000000000009</v>
      </c>
      <c r="L65">
        <f>IF(入力!$B$2="男",成長曲線_男!K63,成長曲線_女!K63)</f>
        <v>95.95</v>
      </c>
      <c r="M65">
        <f>IF(入力!$B$2="男",成長曲線_男!L63,成長曲線_女!L63)</f>
        <v>93.800000000000011</v>
      </c>
      <c r="O65">
        <f>IF(入力!$B$2="男",成長曲線_男!N63,成長曲線_女!N63)</f>
        <v>17.600000000000001</v>
      </c>
      <c r="P65">
        <f>IF(入力!$B$2="男",成長曲線_男!O63,成長曲線_女!O63)</f>
        <v>2.4</v>
      </c>
      <c r="Q65">
        <f>IF(入力!$B$2="男",成長曲線_男!P63,成長曲線_女!P63)</f>
        <v>22.400000000000002</v>
      </c>
      <c r="R65">
        <f>IF(入力!$B$2="男",成長曲線_男!Q63,成長曲線_女!Q63)</f>
        <v>20</v>
      </c>
      <c r="S65">
        <f>IF(入力!$B$2="男",成長曲線_男!R63,成長曲線_女!R63)</f>
        <v>15.200000000000001</v>
      </c>
      <c r="T65">
        <f>IF(入力!$B$2="男",成長曲線_男!S63,成長曲線_女!S63)</f>
        <v>12.8</v>
      </c>
      <c r="V65">
        <v>15.25</v>
      </c>
      <c r="W65">
        <f>IF(入力!$B$2="男",成長曲線_男!V63,成長曲線_女!V63)</f>
        <v>0.7</v>
      </c>
      <c r="X65">
        <f>IF(入力!$B$2="男",成長曲線_男!W63,成長曲線_女!W63)</f>
        <v>0.4</v>
      </c>
      <c r="Y65">
        <f>IF(入力!$B$2="男",成長曲線_男!X63,成長曲線_女!X63)</f>
        <v>1.5</v>
      </c>
      <c r="Z65">
        <f>IF(入力!$B$2="男",成長曲線_男!Y63,成長曲線_女!Y63)</f>
        <v>1.1000000000000001</v>
      </c>
      <c r="AA65">
        <f>IF(入力!$B$2="男",成長曲線_男!Z63,成長曲線_女!Z63)</f>
        <v>0.29999999999999993</v>
      </c>
      <c r="AB65">
        <f>IF(入力!$B$2="男",成長曲線_男!AA63,成長曲線_女!AA63)</f>
        <v>0</v>
      </c>
      <c r="AE65">
        <f>IF($D65*12&lt;150,IF($D65*12&lt;IF(入力!$B$2="男",78,69),2,3),4)+IF(入力!$B$2="男",0,4)</f>
        <v>6</v>
      </c>
      <c r="AF65">
        <f t="shared" si="2"/>
        <v>-1.5095420421470003</v>
      </c>
      <c r="AG65">
        <f>IF($D65*12&lt;90,IF($D65*12&lt;26.75,IF($D65*12&lt;9.5,IF($D65*12&lt;2.5,2,3),4),5),6)+IF(入力!$B$2="男",0,6)+IF(AND(入力!$B$2&lt;&gt;"男",$D65*12&gt;=150),1,0)</f>
        <v>11</v>
      </c>
      <c r="AH65">
        <f t="shared" si="3"/>
        <v>15.297702265094999</v>
      </c>
      <c r="AI65">
        <f>IF(($D65*12)&lt;90,2,3)+IF(入力!$B$2="男",0,3)</f>
        <v>5</v>
      </c>
      <c r="AJ65">
        <f t="shared" si="4"/>
        <v>9.5729877520000006E-2</v>
      </c>
      <c r="AK65">
        <f t="shared" si="10"/>
        <v>13.045354831877992</v>
      </c>
      <c r="AL65">
        <f t="shared" si="9"/>
        <v>13.669228450000752</v>
      </c>
      <c r="AM65">
        <f t="shared" si="9"/>
        <v>14.383618475864983</v>
      </c>
      <c r="AN65">
        <f t="shared" si="9"/>
        <v>15.297702265094999</v>
      </c>
      <c r="AO65">
        <f t="shared" si="9"/>
        <v>16.373086016495442</v>
      </c>
      <c r="AP65">
        <f t="shared" si="9"/>
        <v>17.520594968730613</v>
      </c>
      <c r="AQ65">
        <f t="shared" si="9"/>
        <v>18.874468988912763</v>
      </c>
    </row>
    <row r="66" spans="1:43" x14ac:dyDescent="0.15">
      <c r="A66">
        <f t="shared" si="8"/>
        <v>5</v>
      </c>
      <c r="B66" s="2">
        <v>2</v>
      </c>
      <c r="D66" s="3">
        <f t="shared" si="6"/>
        <v>5.166666666666667</v>
      </c>
      <c r="F66">
        <f>IF(入力!$B$2="男",成長曲線_男!E64,成長曲線_女!E64)</f>
        <v>107.3</v>
      </c>
      <c r="G66">
        <f>IF(入力!$B$2="男",成長曲線_男!F64,成長曲線_女!F64)</f>
        <v>4.3</v>
      </c>
      <c r="H66">
        <f>IF(入力!$B$2="男",成長曲線_男!G64,成長曲線_女!G64)</f>
        <v>115.89999999999999</v>
      </c>
      <c r="I66">
        <f>IF(入力!$B$2="男",成長曲線_男!H64,成長曲線_女!H64)</f>
        <v>111.6</v>
      </c>
      <c r="J66">
        <f>IF(入力!$B$2="男",成長曲線_男!I64,成長曲線_女!I64)</f>
        <v>103</v>
      </c>
      <c r="K66">
        <f>IF(入力!$B$2="男",成長曲線_男!J64,成長曲線_女!J64)</f>
        <v>98.7</v>
      </c>
      <c r="L66">
        <f>IF(入力!$B$2="男",成長曲線_男!K64,成長曲線_女!K64)</f>
        <v>96.55</v>
      </c>
      <c r="M66">
        <f>IF(入力!$B$2="男",成長曲線_男!L64,成長曲線_女!L64)</f>
        <v>94.4</v>
      </c>
      <c r="O66">
        <f>IF(入力!$B$2="男",成長曲線_男!N64,成長曲線_女!N64)</f>
        <v>17.8</v>
      </c>
      <c r="P66">
        <f>IF(入力!$B$2="男",成長曲線_男!O64,成長曲線_女!O64)</f>
        <v>2.5</v>
      </c>
      <c r="Q66">
        <f>IF(入力!$B$2="男",成長曲線_男!P64,成長曲線_女!P64)</f>
        <v>22.8</v>
      </c>
      <c r="R66">
        <f>IF(入力!$B$2="男",成長曲線_男!Q64,成長曲線_女!Q64)</f>
        <v>20.3</v>
      </c>
      <c r="S66">
        <f>IF(入力!$B$2="男",成長曲線_男!R64,成長曲線_女!R64)</f>
        <v>15.3</v>
      </c>
      <c r="T66">
        <f>IF(入力!$B$2="男",成長曲線_男!S64,成長曲線_女!S64)</f>
        <v>12.8</v>
      </c>
      <c r="V66">
        <v>15.5</v>
      </c>
      <c r="W66">
        <f>IF(入力!$B$2="男",成長曲線_男!V64,成長曲線_女!V64)</f>
        <v>0.5</v>
      </c>
      <c r="X66">
        <f>IF(入力!$B$2="男",成長曲線_男!W64,成長曲線_女!W64)</f>
        <v>0.4</v>
      </c>
      <c r="Y66">
        <f>IF(入力!$B$2="男",成長曲線_男!X64,成長曲線_女!X64)</f>
        <v>1.3</v>
      </c>
      <c r="Z66">
        <f>IF(入力!$B$2="男",成長曲線_男!Y64,成長曲線_女!Y64)</f>
        <v>0.9</v>
      </c>
      <c r="AA66">
        <f>IF(入力!$B$2="男",成長曲線_男!Z64,成長曲線_女!Z64)</f>
        <v>9.9999999999999978E-2</v>
      </c>
      <c r="AB66">
        <f>IF(入力!$B$2="男",成長曲線_男!AA64,成長曲線_女!AA64)</f>
        <v>0</v>
      </c>
      <c r="AE66">
        <f>IF($D66*12&lt;150,IF($D66*12&lt;IF(入力!$B$2="男",78,69),2,3),4)+IF(入力!$B$2="男",0,4)</f>
        <v>6</v>
      </c>
      <c r="AF66">
        <f t="shared" si="2"/>
        <v>-1.5461635619359999</v>
      </c>
      <c r="AG66">
        <f>IF($D66*12&lt;90,IF($D66*12&lt;26.75,IF($D66*12&lt;9.5,IF($D66*12&lt;2.5,2,3),4),5),6)+IF(入力!$B$2="男",0,6)+IF(AND(入力!$B$2&lt;&gt;"男",$D66*12&gt;=150),1,0)</f>
        <v>11</v>
      </c>
      <c r="AH66">
        <f t="shared" si="3"/>
        <v>15.30367194436</v>
      </c>
      <c r="AI66">
        <f>IF(($D66*12)&lt;90,2,3)+IF(入力!$B$2="男",0,3)</f>
        <v>5</v>
      </c>
      <c r="AJ66">
        <f t="shared" si="4"/>
        <v>9.6499701359999995E-2</v>
      </c>
      <c r="AK66">
        <f t="shared" si="10"/>
        <v>13.041265149491865</v>
      </c>
      <c r="AL66">
        <f t="shared" si="9"/>
        <v>13.666224782179929</v>
      </c>
      <c r="AM66">
        <f t="shared" si="9"/>
        <v>14.383410352957021</v>
      </c>
      <c r="AN66">
        <f t="shared" si="9"/>
        <v>15.30367194436</v>
      </c>
      <c r="AO66">
        <f t="shared" si="9"/>
        <v>16.390366550511455</v>
      </c>
      <c r="AP66">
        <f t="shared" si="9"/>
        <v>17.555169620874935</v>
      </c>
      <c r="AQ66">
        <f t="shared" si="9"/>
        <v>18.936972554557595</v>
      </c>
    </row>
    <row r="67" spans="1:43" x14ac:dyDescent="0.15">
      <c r="A67">
        <f t="shared" si="8"/>
        <v>5</v>
      </c>
      <c r="B67" s="2">
        <v>3</v>
      </c>
      <c r="D67" s="3">
        <f t="shared" si="6"/>
        <v>5.25</v>
      </c>
      <c r="F67">
        <f>IF(入力!$B$2="男",成長曲線_男!E65,成長曲線_女!E65)</f>
        <v>107.8</v>
      </c>
      <c r="G67">
        <f>IF(入力!$B$2="男",成長曲線_男!F65,成長曲線_女!F65)</f>
        <v>4.3</v>
      </c>
      <c r="H67">
        <f>IF(入力!$B$2="男",成長曲線_男!G65,成長曲線_女!G65)</f>
        <v>116.39999999999999</v>
      </c>
      <c r="I67">
        <f>IF(入力!$B$2="男",成長曲線_男!H65,成長曲線_女!H65)</f>
        <v>112.1</v>
      </c>
      <c r="J67">
        <f>IF(入力!$B$2="男",成長曲線_男!I65,成長曲線_女!I65)</f>
        <v>103.5</v>
      </c>
      <c r="K67">
        <f>IF(入力!$B$2="男",成長曲線_男!J65,成長曲線_女!J65)</f>
        <v>99.2</v>
      </c>
      <c r="L67">
        <f>IF(入力!$B$2="男",成長曲線_男!K65,成長曲線_女!K65)</f>
        <v>97.05</v>
      </c>
      <c r="M67">
        <f>IF(入力!$B$2="男",成長曲線_男!L65,成長曲線_女!L65)</f>
        <v>94.9</v>
      </c>
      <c r="O67">
        <f>IF(入力!$B$2="男",成長曲線_男!N65,成長曲線_女!N65)</f>
        <v>18</v>
      </c>
      <c r="P67">
        <f>IF(入力!$B$2="男",成長曲線_男!O65,成長曲線_女!O65)</f>
        <v>2.59</v>
      </c>
      <c r="Q67">
        <f>IF(入力!$B$2="男",成長曲線_男!P65,成長曲線_女!P65)</f>
        <v>23.18</v>
      </c>
      <c r="R67">
        <f>IF(入力!$B$2="男",成長曲線_男!Q65,成長曲線_女!Q65)</f>
        <v>20.59</v>
      </c>
      <c r="S67">
        <f>IF(入力!$B$2="男",成長曲線_男!R65,成長曲線_女!R65)</f>
        <v>15.41</v>
      </c>
      <c r="T67">
        <f>IF(入力!$B$2="男",成長曲線_男!S65,成長曲線_女!S65)</f>
        <v>12.82</v>
      </c>
      <c r="V67">
        <v>15.75</v>
      </c>
      <c r="W67">
        <f>IF(入力!$B$2="男",成長曲線_男!V65,成長曲線_女!V65)</f>
        <v>0.4</v>
      </c>
      <c r="X67">
        <f>IF(入力!$B$2="男",成長曲線_男!W65,成長曲線_女!W65)</f>
        <v>0.4</v>
      </c>
      <c r="Y67">
        <f>IF(入力!$B$2="男",成長曲線_男!X65,成長曲線_女!X65)</f>
        <v>1.2000000000000002</v>
      </c>
      <c r="Z67">
        <f>IF(入力!$B$2="男",成長曲線_男!Y65,成長曲線_女!Y65)</f>
        <v>0.8</v>
      </c>
      <c r="AA67">
        <f>IF(入力!$B$2="男",成長曲線_男!Z65,成長曲線_女!Z65)</f>
        <v>0</v>
      </c>
      <c r="AB67">
        <f>IF(入力!$B$2="男",成長曲線_男!AA65,成長曲線_女!AA65)</f>
        <v>0</v>
      </c>
      <c r="AE67">
        <f>IF($D67*12&lt;150,IF($D67*12&lt;IF(入力!$B$2="男",78,69),2,3),4)+IF(入力!$B$2="男",0,4)</f>
        <v>6</v>
      </c>
      <c r="AF67">
        <f t="shared" si="2"/>
        <v>-1.582703484689</v>
      </c>
      <c r="AG67">
        <f>IF($D67*12&lt;90,IF($D67*12&lt;26.75,IF($D67*12&lt;9.5,IF($D67*12&lt;2.5,2,3),4),5),6)+IF(入力!$B$2="男",0,6)+IF(AND(入力!$B$2&lt;&gt;"男",$D67*12&gt;=150),1,0)</f>
        <v>11</v>
      </c>
      <c r="AH67">
        <f t="shared" si="3"/>
        <v>15.310163347765</v>
      </c>
      <c r="AI67">
        <f>IF(($D67*12)&lt;90,2,3)+IF(入力!$B$2="男",0,3)</f>
        <v>5</v>
      </c>
      <c r="AJ67">
        <f t="shared" si="4"/>
        <v>9.7277908440000005E-2</v>
      </c>
      <c r="AK67">
        <f t="shared" si="10"/>
        <v>13.037585971549765</v>
      </c>
      <c r="AL67">
        <f t="shared" si="9"/>
        <v>13.663640883975468</v>
      </c>
      <c r="AM67">
        <f t="shared" si="9"/>
        <v>14.383645787959422</v>
      </c>
      <c r="AN67">
        <f t="shared" si="9"/>
        <v>15.310163347765</v>
      </c>
      <c r="AO67">
        <f t="shared" si="9"/>
        <v>16.408385970983264</v>
      </c>
      <c r="AP67">
        <f t="shared" si="9"/>
        <v>17.590958421653077</v>
      </c>
      <c r="AQ67">
        <f t="shared" si="9"/>
        <v>19.00174643386255</v>
      </c>
    </row>
    <row r="68" spans="1:43" x14ac:dyDescent="0.15">
      <c r="A68">
        <f t="shared" si="8"/>
        <v>5</v>
      </c>
      <c r="B68" s="2">
        <v>4</v>
      </c>
      <c r="D68" s="3">
        <f t="shared" si="6"/>
        <v>5.333333333333333</v>
      </c>
      <c r="F68">
        <f>IF(入力!$B$2="男",成長曲線_男!E66,成長曲線_女!E66)</f>
        <v>108.4</v>
      </c>
      <c r="G68">
        <f>IF(入力!$B$2="男",成長曲線_男!F66,成長曲線_女!F66)</f>
        <v>4.4000000000000004</v>
      </c>
      <c r="H68">
        <f>IF(入力!$B$2="男",成長曲線_男!G66,成長曲線_女!G66)</f>
        <v>117.2</v>
      </c>
      <c r="I68">
        <f>IF(入力!$B$2="男",成長曲線_男!H66,成長曲線_女!H66)</f>
        <v>112.80000000000001</v>
      </c>
      <c r="J68">
        <f>IF(入力!$B$2="男",成長曲線_男!I66,成長曲線_女!I66)</f>
        <v>104</v>
      </c>
      <c r="K68">
        <f>IF(入力!$B$2="男",成長曲線_男!J66,成長曲線_女!J66)</f>
        <v>99.600000000000009</v>
      </c>
      <c r="L68">
        <f>IF(入力!$B$2="男",成長曲線_男!K66,成長曲線_女!K66)</f>
        <v>97.4</v>
      </c>
      <c r="M68">
        <f>IF(入力!$B$2="男",成長曲線_男!L66,成長曲線_女!L66)</f>
        <v>95.2</v>
      </c>
      <c r="O68">
        <f>IF(入力!$B$2="男",成長曲線_男!N66,成長曲線_女!N66)</f>
        <v>18.100000000000001</v>
      </c>
      <c r="P68">
        <f>IF(入力!$B$2="男",成長曲線_男!O66,成長曲線_女!O66)</f>
        <v>2.62</v>
      </c>
      <c r="Q68">
        <f>IF(入力!$B$2="男",成長曲線_男!P66,成長曲線_女!P66)</f>
        <v>23.340000000000003</v>
      </c>
      <c r="R68">
        <f>IF(入力!$B$2="男",成長曲線_男!Q66,成長曲線_女!Q66)</f>
        <v>20.720000000000002</v>
      </c>
      <c r="S68">
        <f>IF(入力!$B$2="男",成長曲線_男!R66,成長曲線_女!R66)</f>
        <v>15.48</v>
      </c>
      <c r="T68">
        <f>IF(入力!$B$2="男",成長曲線_男!S66,成長曲線_女!S66)</f>
        <v>12.860000000000001</v>
      </c>
      <c r="V68">
        <v>16</v>
      </c>
      <c r="W68">
        <f>IF(入力!$B$2="男",成長曲線_男!V66,成長曲線_女!V66)</f>
        <v>0.4</v>
      </c>
      <c r="X68">
        <f>IF(入力!$B$2="男",成長曲線_男!W66,成長曲線_女!W66)</f>
        <v>0.4</v>
      </c>
      <c r="Y68">
        <f>IF(入力!$B$2="男",成長曲線_男!X66,成長曲線_女!X66)</f>
        <v>1.2000000000000002</v>
      </c>
      <c r="Z68">
        <f>IF(入力!$B$2="男",成長曲線_男!Y66,成長曲線_女!Y66)</f>
        <v>0.8</v>
      </c>
      <c r="AA68">
        <f>IF(入力!$B$2="男",成長曲線_男!Z66,成長曲線_女!Z66)</f>
        <v>0</v>
      </c>
      <c r="AB68">
        <f>IF(入力!$B$2="男",成長曲線_男!AA66,成長曲線_女!AA66)</f>
        <v>0</v>
      </c>
      <c r="AE68">
        <f>IF($D68*12&lt;150,IF($D68*12&lt;IF(入力!$B$2="男",78,69),2,3),4)+IF(入力!$B$2="男",0,4)</f>
        <v>6</v>
      </c>
      <c r="AF68">
        <f t="shared" ref="AF68:AF131" si="11">INDEX(BMI_L,$AE68,3)*($D68*12)^3+INDEX(BMI_L,$AE68,4)*($D68*12)^2+INDEX(BMI_L,$AE68,5)*($D68*12)+INDEX(BMI_L,$AE68,6)</f>
        <v>-1.6191597247280001</v>
      </c>
      <c r="AG68">
        <f>IF($D68*12&lt;90,IF($D68*12&lt;26.75,IF($D68*12&lt;9.5,IF($D68*12&lt;2.5,2,3),4),5),6)+IF(入力!$B$2="男",0,6)+IF(AND(入力!$B$2&lt;&gt;"男",$D68*12&gt;=150),1,0)</f>
        <v>11</v>
      </c>
      <c r="AH68">
        <f t="shared" ref="AH68:AH131" si="12">INDEX(BMI_M,$AG68,3)*($D68*12)^3+INDEX(BMI_M,$AG68,4)*($D68*12)^2+INDEX(BMI_M,$AG68,5)*($D68*12)+INDEX(BMI_M,$AG68,6)</f>
        <v>15.31717359528</v>
      </c>
      <c r="AI68">
        <f>IF(($D68*12)&lt;90,2,3)+IF(入力!$B$2="男",0,3)</f>
        <v>5</v>
      </c>
      <c r="AJ68">
        <f t="shared" ref="AJ68:AJ131" si="13">INDEX(BMI_S,$AI68,3)*($D68*12)^3+INDEX(BMI_S,$AI68,4)*($D68*12)^2+INDEX(BMI_S,$AI68,5)*($D68*12)+INDEX(BMI_S,$AI68,6)</f>
        <v>9.8063885680000004E-2</v>
      </c>
      <c r="AK68">
        <f t="shared" si="10"/>
        <v>13.034327292717967</v>
      </c>
      <c r="AL68">
        <f t="shared" si="9"/>
        <v>13.661483610463765</v>
      </c>
      <c r="AM68">
        <f t="shared" si="9"/>
        <v>14.384327461055287</v>
      </c>
      <c r="AN68">
        <f t="shared" si="9"/>
        <v>15.31717359528</v>
      </c>
      <c r="AO68">
        <f t="shared" si="9"/>
        <v>16.427137294897737</v>
      </c>
      <c r="AP68">
        <f t="shared" si="9"/>
        <v>17.627960160156999</v>
      </c>
      <c r="AQ68">
        <f t="shared" si="9"/>
        <v>19.068828922137495</v>
      </c>
    </row>
    <row r="69" spans="1:43" x14ac:dyDescent="0.15">
      <c r="A69">
        <f t="shared" si="8"/>
        <v>5</v>
      </c>
      <c r="B69" s="2">
        <v>5</v>
      </c>
      <c r="D69" s="3">
        <f t="shared" ref="D69:D132" si="14">A69+B69/12</f>
        <v>5.416666666666667</v>
      </c>
      <c r="F69">
        <f>IF(入力!$B$2="男",成長曲線_男!E67,成長曲線_女!E67)</f>
        <v>108.9</v>
      </c>
      <c r="G69">
        <f>IF(入力!$B$2="男",成長曲線_男!F67,成長曲線_女!F67)</f>
        <v>4.4000000000000004</v>
      </c>
      <c r="H69">
        <f>IF(入力!$B$2="男",成長曲線_男!G67,成長曲線_女!G67)</f>
        <v>117.7</v>
      </c>
      <c r="I69">
        <f>IF(入力!$B$2="男",成長曲線_男!H67,成長曲線_女!H67)</f>
        <v>113.30000000000001</v>
      </c>
      <c r="J69">
        <f>IF(入力!$B$2="男",成長曲線_男!I67,成長曲線_女!I67)</f>
        <v>104.5</v>
      </c>
      <c r="K69">
        <f>IF(入力!$B$2="男",成長曲線_男!J67,成長曲線_女!J67)</f>
        <v>100.10000000000001</v>
      </c>
      <c r="L69">
        <f>IF(入力!$B$2="男",成長曲線_男!K67,成長曲線_女!K67)</f>
        <v>97.9</v>
      </c>
      <c r="M69">
        <f>IF(入力!$B$2="男",成長曲線_男!L67,成長曲線_女!L67)</f>
        <v>95.7</v>
      </c>
      <c r="O69">
        <f>IF(入力!$B$2="男",成長曲線_男!N67,成長曲線_女!N67)</f>
        <v>18.2</v>
      </c>
      <c r="P69">
        <f>IF(入力!$B$2="男",成長曲線_男!O67,成長曲線_女!O67)</f>
        <v>2.64</v>
      </c>
      <c r="Q69">
        <f>IF(入力!$B$2="男",成長曲線_男!P67,成長曲線_女!P67)</f>
        <v>23.48</v>
      </c>
      <c r="R69">
        <f>IF(入力!$B$2="男",成長曲線_男!Q67,成長曲線_女!Q67)</f>
        <v>20.84</v>
      </c>
      <c r="S69">
        <f>IF(入力!$B$2="男",成長曲線_男!R67,成長曲線_女!R67)</f>
        <v>15.559999999999999</v>
      </c>
      <c r="T69">
        <f>IF(入力!$B$2="男",成長曲線_男!S67,成長曲線_女!S67)</f>
        <v>12.919999999999998</v>
      </c>
      <c r="V69">
        <v>16.25</v>
      </c>
      <c r="W69">
        <f>IF(入力!$B$2="男",成長曲線_男!V67,成長曲線_女!V67)</f>
        <v>0.3</v>
      </c>
      <c r="X69">
        <f>IF(入力!$B$2="男",成長曲線_男!W67,成長曲線_女!W67)</f>
        <v>0.4</v>
      </c>
      <c r="Y69">
        <f>IF(入力!$B$2="男",成長曲線_男!X67,成長曲線_女!X67)</f>
        <v>1.1000000000000001</v>
      </c>
      <c r="Z69">
        <f>IF(入力!$B$2="男",成長曲線_男!Y67,成長曲線_女!Y67)</f>
        <v>0.7</v>
      </c>
      <c r="AA69">
        <f>IF(入力!$B$2="男",成長曲線_男!Z67,成長曲線_女!Z67)</f>
        <v>0</v>
      </c>
      <c r="AB69">
        <f>IF(入力!$B$2="男",成長曲線_男!AA67,成長曲線_女!AA67)</f>
        <v>0</v>
      </c>
      <c r="AE69">
        <f>IF($D69*12&lt;150,IF($D69*12&lt;IF(入力!$B$2="男",78,69),2,3),4)+IF(入力!$B$2="男",0,4)</f>
        <v>6</v>
      </c>
      <c r="AF69">
        <f t="shared" si="11"/>
        <v>-1.655530196375</v>
      </c>
      <c r="AG69">
        <f>IF($D69*12&lt;90,IF($D69*12&lt;26.75,IF($D69*12&lt;9.5,IF($D69*12&lt;2.5,2,3),4),5),6)+IF(入力!$B$2="男",0,6)+IF(AND(入力!$B$2&lt;&gt;"男",$D69*12&gt;=150),1,0)</f>
        <v>11</v>
      </c>
      <c r="AH69">
        <f t="shared" si="12"/>
        <v>15.324699806875</v>
      </c>
      <c r="AI69">
        <f>IF(($D69*12)&lt;90,2,3)+IF(入力!$B$2="男",0,3)</f>
        <v>5</v>
      </c>
      <c r="AJ69">
        <f t="shared" si="13"/>
        <v>9.8857020000000004E-2</v>
      </c>
      <c r="AK69">
        <f t="shared" si="10"/>
        <v>13.031498738135509</v>
      </c>
      <c r="AL69">
        <f t="shared" si="9"/>
        <v>13.659759612375426</v>
      </c>
      <c r="AM69">
        <f t="shared" si="9"/>
        <v>14.385457986810151</v>
      </c>
      <c r="AN69">
        <f t="shared" si="9"/>
        <v>15.324699806875</v>
      </c>
      <c r="AO69">
        <f t="shared" si="9"/>
        <v>16.446613483986763</v>
      </c>
      <c r="AP69">
        <f t="shared" si="9"/>
        <v>17.66617372568308</v>
      </c>
      <c r="AQ69">
        <f t="shared" si="9"/>
        <v>19.138260663622223</v>
      </c>
    </row>
    <row r="70" spans="1:43" x14ac:dyDescent="0.15">
      <c r="A70">
        <f t="shared" si="8"/>
        <v>5</v>
      </c>
      <c r="B70" s="2">
        <v>6</v>
      </c>
      <c r="D70" s="3">
        <f t="shared" si="14"/>
        <v>5.5</v>
      </c>
      <c r="F70">
        <f>IF(入力!$B$2="男",成長曲線_男!E68,成長曲線_女!E68)</f>
        <v>109.5</v>
      </c>
      <c r="G70">
        <f>IF(入力!$B$2="男",成長曲線_男!F68,成長曲線_女!F68)</f>
        <v>4.4000000000000004</v>
      </c>
      <c r="H70">
        <f>IF(入力!$B$2="男",成長曲線_男!G68,成長曲線_女!G68)</f>
        <v>118.3</v>
      </c>
      <c r="I70">
        <f>IF(入力!$B$2="男",成長曲線_男!H68,成長曲線_女!H68)</f>
        <v>113.9</v>
      </c>
      <c r="J70">
        <f>IF(入力!$B$2="男",成長曲線_男!I68,成長曲線_女!I68)</f>
        <v>105.1</v>
      </c>
      <c r="K70">
        <f>IF(入力!$B$2="男",成長曲線_男!J68,成長曲線_女!J68)</f>
        <v>100.7</v>
      </c>
      <c r="L70">
        <f>IF(入力!$B$2="男",成長曲線_男!K68,成長曲線_女!K68)</f>
        <v>98.5</v>
      </c>
      <c r="M70">
        <f>IF(入力!$B$2="男",成長曲線_男!L68,成長曲線_女!L68)</f>
        <v>96.3</v>
      </c>
      <c r="O70">
        <f>IF(入力!$B$2="男",成長曲線_男!N68,成長曲線_女!N68)</f>
        <v>18.399999999999999</v>
      </c>
      <c r="P70">
        <f>IF(入力!$B$2="男",成長曲線_男!O68,成長曲線_女!O68)</f>
        <v>2.67</v>
      </c>
      <c r="Q70">
        <f>IF(入力!$B$2="男",成長曲線_男!P68,成長曲線_女!P68)</f>
        <v>23.74</v>
      </c>
      <c r="R70">
        <f>IF(入力!$B$2="男",成長曲線_男!Q68,成長曲線_女!Q68)</f>
        <v>21.07</v>
      </c>
      <c r="S70">
        <f>IF(入力!$B$2="男",成長曲線_男!R68,成長曲線_女!R68)</f>
        <v>15.729999999999999</v>
      </c>
      <c r="T70">
        <f>IF(入力!$B$2="男",成長曲線_男!S68,成長曲線_女!S68)</f>
        <v>13.059999999999999</v>
      </c>
      <c r="V70">
        <v>16.5</v>
      </c>
      <c r="W70">
        <f>IF(入力!$B$2="男",成長曲線_男!V68,成長曲線_女!V68)</f>
        <v>0.2</v>
      </c>
      <c r="X70">
        <f>IF(入力!$B$2="男",成長曲線_男!W68,成長曲線_女!W68)</f>
        <v>0.3</v>
      </c>
      <c r="Y70">
        <f>IF(入力!$B$2="男",成長曲線_男!X68,成長曲線_女!X68)</f>
        <v>0.8</v>
      </c>
      <c r="Z70">
        <f>IF(入力!$B$2="男",成長曲線_男!Y68,成長曲線_女!Y68)</f>
        <v>0.5</v>
      </c>
      <c r="AA70">
        <f>IF(入力!$B$2="男",成長曲線_男!Z68,成長曲線_女!Z68)</f>
        <v>0</v>
      </c>
      <c r="AB70">
        <f>IF(入力!$B$2="男",成長曲線_男!AA68,成長曲線_女!AA68)</f>
        <v>0</v>
      </c>
      <c r="AE70">
        <f>IF($D70*12&lt;150,IF($D70*12&lt;IF(入力!$B$2="男",78,69),2,3),4)+IF(入力!$B$2="男",0,4)</f>
        <v>6</v>
      </c>
      <c r="AF70">
        <f t="shared" si="11"/>
        <v>-1.6918128139520001</v>
      </c>
      <c r="AG70">
        <f>IF($D70*12&lt;90,IF($D70*12&lt;26.75,IF($D70*12&lt;9.5,IF($D70*12&lt;2.5,2,3),4),5),6)+IF(入力!$B$2="男",0,6)+IF(AND(入力!$B$2&lt;&gt;"男",$D70*12&gt;=150),1,0)</f>
        <v>11</v>
      </c>
      <c r="AH70">
        <f t="shared" si="12"/>
        <v>15.33273910252</v>
      </c>
      <c r="AI70">
        <f>IF(($D70*12)&lt;90,2,3)+IF(入力!$B$2="男",0,3)</f>
        <v>5</v>
      </c>
      <c r="AJ70">
        <f t="shared" si="13"/>
        <v>9.9656698320000014E-2</v>
      </c>
      <c r="AK70">
        <f t="shared" si="10"/>
        <v>13.0291095689029</v>
      </c>
      <c r="AL70">
        <f t="shared" si="9"/>
        <v>13.658475337951858</v>
      </c>
      <c r="AM70">
        <f t="shared" si="9"/>
        <v>14.387039914800679</v>
      </c>
      <c r="AN70">
        <f t="shared" si="9"/>
        <v>15.33273910252</v>
      </c>
      <c r="AO70">
        <f t="shared" si="9"/>
        <v>16.466807437430614</v>
      </c>
      <c r="AP70">
        <f t="shared" si="9"/>
        <v>17.705598091499919</v>
      </c>
      <c r="AQ70">
        <f t="shared" si="9"/>
        <v>19.210084771829742</v>
      </c>
    </row>
    <row r="71" spans="1:43" x14ac:dyDescent="0.15">
      <c r="A71">
        <f t="shared" si="8"/>
        <v>5</v>
      </c>
      <c r="B71" s="2">
        <v>7</v>
      </c>
      <c r="D71" s="3">
        <f t="shared" si="14"/>
        <v>5.583333333333333</v>
      </c>
      <c r="F71">
        <f>IF(入力!$B$2="男",成長曲線_男!E69,成長曲線_女!E69)</f>
        <v>110</v>
      </c>
      <c r="G71">
        <f>IF(入力!$B$2="男",成長曲線_男!F69,成長曲線_女!F69)</f>
        <v>4.5</v>
      </c>
      <c r="H71">
        <f>IF(入力!$B$2="男",成長曲線_男!G69,成長曲線_女!G69)</f>
        <v>119</v>
      </c>
      <c r="I71">
        <f>IF(入力!$B$2="男",成長曲線_男!H69,成長曲線_女!H69)</f>
        <v>114.5</v>
      </c>
      <c r="J71">
        <f>IF(入力!$B$2="男",成長曲線_男!I69,成長曲線_女!I69)</f>
        <v>105.5</v>
      </c>
      <c r="K71">
        <f>IF(入力!$B$2="男",成長曲線_男!J69,成長曲線_女!J69)</f>
        <v>101</v>
      </c>
      <c r="L71">
        <f>IF(入力!$B$2="男",成長曲線_男!K69,成長曲線_女!K69)</f>
        <v>98.75</v>
      </c>
      <c r="M71">
        <f>IF(入力!$B$2="男",成長曲線_男!L69,成長曲線_女!L69)</f>
        <v>96.5</v>
      </c>
      <c r="O71">
        <f>IF(入力!$B$2="男",成長曲線_男!N69,成長曲線_女!N69)</f>
        <v>18.5</v>
      </c>
      <c r="P71">
        <f>IF(入力!$B$2="男",成長曲線_男!O69,成長曲線_女!O69)</f>
        <v>2.7</v>
      </c>
      <c r="Q71">
        <f>IF(入力!$B$2="男",成長曲線_男!P69,成長曲線_女!P69)</f>
        <v>23.9</v>
      </c>
      <c r="R71">
        <f>IF(入力!$B$2="男",成長曲線_男!Q69,成長曲線_女!Q69)</f>
        <v>21.2</v>
      </c>
      <c r="S71">
        <f>IF(入力!$B$2="男",成長曲線_男!R69,成長曲線_女!R69)</f>
        <v>15.8</v>
      </c>
      <c r="T71">
        <f>IF(入力!$B$2="男",成長曲線_男!S69,成長曲線_女!S69)</f>
        <v>13.1</v>
      </c>
      <c r="V71">
        <v>16.75</v>
      </c>
      <c r="W71">
        <f>IF(入力!$B$2="男",成長曲線_男!V69,成長曲線_女!V69)</f>
        <v>0.2</v>
      </c>
      <c r="X71">
        <f>IF(入力!$B$2="男",成長曲線_男!W69,成長曲線_女!W69)</f>
        <v>0.3</v>
      </c>
      <c r="Y71">
        <f>IF(入力!$B$2="男",成長曲線_男!X69,成長曲線_女!X69)</f>
        <v>0.8</v>
      </c>
      <c r="Z71">
        <f>IF(入力!$B$2="男",成長曲線_男!Y69,成長曲線_女!Y69)</f>
        <v>0.5</v>
      </c>
      <c r="AA71">
        <f>IF(入力!$B$2="男",成長曲線_男!Z69,成長曲線_女!Z69)</f>
        <v>0</v>
      </c>
      <c r="AB71">
        <f>IF(入力!$B$2="男",成長曲線_男!AA69,成長曲線_女!AA69)</f>
        <v>0</v>
      </c>
      <c r="AE71">
        <f>IF($D71*12&lt;150,IF($D71*12&lt;IF(入力!$B$2="男",78,69),2,3),4)+IF(入力!$B$2="男",0,4)</f>
        <v>6</v>
      </c>
      <c r="AF71">
        <f t="shared" si="11"/>
        <v>-1.7280054917809999</v>
      </c>
      <c r="AG71">
        <f>IF($D71*12&lt;90,IF($D71*12&lt;26.75,IF($D71*12&lt;9.5,IF($D71*12&lt;2.5,2,3),4),5),6)+IF(入力!$B$2="男",0,6)+IF(AND(入力!$B$2&lt;&gt;"男",$D71*12&gt;=150),1,0)</f>
        <v>11</v>
      </c>
      <c r="AH71">
        <f t="shared" si="12"/>
        <v>15.341288602184999</v>
      </c>
      <c r="AI71">
        <f>IF(($D71*12)&lt;90,2,3)+IF(入力!$B$2="男",0,3)</f>
        <v>5</v>
      </c>
      <c r="AJ71">
        <f t="shared" si="13"/>
        <v>0.10046230756000002</v>
      </c>
      <c r="AK71">
        <f t="shared" si="10"/>
        <v>13.02716868789447</v>
      </c>
      <c r="AL71">
        <f t="shared" si="9"/>
        <v>13.657637034974284</v>
      </c>
      <c r="AM71">
        <f t="shared" si="9"/>
        <v>14.389075730270408</v>
      </c>
      <c r="AN71">
        <f t="shared" si="9"/>
        <v>15.341288602184999</v>
      </c>
      <c r="AO71">
        <f t="shared" si="9"/>
        <v>16.487711984371593</v>
      </c>
      <c r="AP71">
        <f t="shared" si="9"/>
        <v>17.746232297381969</v>
      </c>
      <c r="AQ71">
        <f t="shared" si="9"/>
        <v>19.284346958787072</v>
      </c>
    </row>
    <row r="72" spans="1:43" x14ac:dyDescent="0.15">
      <c r="A72">
        <f t="shared" si="8"/>
        <v>5</v>
      </c>
      <c r="B72" s="2">
        <v>8</v>
      </c>
      <c r="D72" s="3">
        <f t="shared" si="14"/>
        <v>5.666666666666667</v>
      </c>
      <c r="F72">
        <f>IF(入力!$B$2="男",成長曲線_男!E70,成長曲線_女!E70)</f>
        <v>110.6</v>
      </c>
      <c r="G72">
        <f>IF(入力!$B$2="男",成長曲線_男!F70,成長曲線_女!F70)</f>
        <v>4.5</v>
      </c>
      <c r="H72">
        <f>IF(入力!$B$2="男",成長曲線_男!G70,成長曲線_女!G70)</f>
        <v>119.6</v>
      </c>
      <c r="I72">
        <f>IF(入力!$B$2="男",成長曲線_男!H70,成長曲線_女!H70)</f>
        <v>115.1</v>
      </c>
      <c r="J72">
        <f>IF(入力!$B$2="男",成長曲線_男!I70,成長曲線_女!I70)</f>
        <v>106.1</v>
      </c>
      <c r="K72">
        <f>IF(入力!$B$2="男",成長曲線_男!J70,成長曲線_女!J70)</f>
        <v>101.6</v>
      </c>
      <c r="L72">
        <f>IF(入力!$B$2="男",成長曲線_男!K70,成長曲線_女!K70)</f>
        <v>99.35</v>
      </c>
      <c r="M72">
        <f>IF(入力!$B$2="男",成長曲線_男!L70,成長曲線_女!L70)</f>
        <v>97.1</v>
      </c>
      <c r="O72">
        <f>IF(入力!$B$2="男",成長曲線_男!N70,成長曲線_女!N70)</f>
        <v>18.600000000000001</v>
      </c>
      <c r="P72">
        <f>IF(入力!$B$2="男",成長曲線_男!O70,成長曲線_女!O70)</f>
        <v>2.72</v>
      </c>
      <c r="Q72">
        <f>IF(入力!$B$2="男",成長曲線_男!P70,成長曲線_女!P70)</f>
        <v>24.040000000000003</v>
      </c>
      <c r="R72">
        <f>IF(入力!$B$2="男",成長曲線_男!Q70,成長曲線_女!Q70)</f>
        <v>21.32</v>
      </c>
      <c r="S72">
        <f>IF(入力!$B$2="男",成長曲線_男!R70,成長曲線_女!R70)</f>
        <v>15.88</v>
      </c>
      <c r="T72">
        <f>IF(入力!$B$2="男",成長曲線_男!S70,成長曲線_女!S70)</f>
        <v>13.16</v>
      </c>
      <c r="V72">
        <v>17</v>
      </c>
      <c r="W72">
        <f>IF(入力!$B$2="男",成長曲線_男!V70,成長曲線_女!V70)</f>
        <v>0.1</v>
      </c>
      <c r="X72">
        <f>IF(入力!$B$2="男",成長曲線_男!W70,成長曲線_女!W70)</f>
        <v>0.2</v>
      </c>
      <c r="Y72">
        <f>IF(入力!$B$2="男",成長曲線_男!X70,成長曲線_女!X70)</f>
        <v>0.5</v>
      </c>
      <c r="Z72">
        <f>IF(入力!$B$2="男",成長曲線_男!Y70,成長曲線_女!Y70)</f>
        <v>0.30000000000000004</v>
      </c>
      <c r="AA72">
        <f>IF(入力!$B$2="男",成長曲線_男!Z70,成長曲線_女!Z70)</f>
        <v>0</v>
      </c>
      <c r="AB72">
        <f>IF(入力!$B$2="男",成長曲線_男!AA70,成長曲線_女!AA70)</f>
        <v>0</v>
      </c>
      <c r="AE72">
        <f>IF($D72*12&lt;150,IF($D72*12&lt;IF(入力!$B$2="男",78,69),2,3),4)+IF(入力!$B$2="男",0,4)</f>
        <v>6</v>
      </c>
      <c r="AF72">
        <f t="shared" si="11"/>
        <v>-1.7641061441839998</v>
      </c>
      <c r="AG72">
        <f>IF($D72*12&lt;90,IF($D72*12&lt;26.75,IF($D72*12&lt;9.5,IF($D72*12&lt;2.5,2,3),4),5),6)+IF(入力!$B$2="男",0,6)+IF(AND(入力!$B$2&lt;&gt;"男",$D72*12&gt;=150),1,0)</f>
        <v>11</v>
      </c>
      <c r="AH72">
        <f t="shared" si="12"/>
        <v>15.350345425840001</v>
      </c>
      <c r="AI72">
        <f>IF(($D72*12)&lt;90,2,3)+IF(入力!$B$2="男",0,3)</f>
        <v>5</v>
      </c>
      <c r="AJ72">
        <f t="shared" si="13"/>
        <v>0.10127323464000001</v>
      </c>
      <c r="AK72">
        <f t="shared" si="10"/>
        <v>13.025684645891502</v>
      </c>
      <c r="AL72">
        <f t="shared" si="9"/>
        <v>13.657250752970809</v>
      </c>
      <c r="AM72">
        <f t="shared" si="9"/>
        <v>14.391567854816964</v>
      </c>
      <c r="AN72">
        <f t="shared" si="9"/>
        <v>15.350345425840001</v>
      </c>
      <c r="AO72">
        <f t="shared" si="9"/>
        <v>16.509319876236592</v>
      </c>
      <c r="AP72">
        <f t="shared" si="9"/>
        <v>17.78807543081842</v>
      </c>
      <c r="AQ72">
        <f t="shared" si="9"/>
        <v>19.361095673956846</v>
      </c>
    </row>
    <row r="73" spans="1:43" x14ac:dyDescent="0.15">
      <c r="A73">
        <f t="shared" si="8"/>
        <v>5</v>
      </c>
      <c r="B73" s="2">
        <v>9</v>
      </c>
      <c r="D73" s="3">
        <f t="shared" si="14"/>
        <v>5.75</v>
      </c>
      <c r="F73">
        <f>IF(入力!$B$2="男",成長曲線_男!E71,成長曲線_女!E71)</f>
        <v>111.1</v>
      </c>
      <c r="G73">
        <f>IF(入力!$B$2="男",成長曲線_男!F71,成長曲線_女!F71)</f>
        <v>4.5</v>
      </c>
      <c r="H73">
        <f>IF(入力!$B$2="男",成長曲線_男!G71,成長曲線_女!G71)</f>
        <v>120.1</v>
      </c>
      <c r="I73">
        <f>IF(入力!$B$2="男",成長曲線_男!H71,成長曲線_女!H71)</f>
        <v>115.6</v>
      </c>
      <c r="J73">
        <f>IF(入力!$B$2="男",成長曲線_男!I71,成長曲線_女!I71)</f>
        <v>106.6</v>
      </c>
      <c r="K73">
        <f>IF(入力!$B$2="男",成長曲線_男!J71,成長曲線_女!J71)</f>
        <v>102.1</v>
      </c>
      <c r="L73">
        <f>IF(入力!$B$2="男",成長曲線_男!K71,成長曲線_女!K71)</f>
        <v>99.85</v>
      </c>
      <c r="M73">
        <f>IF(入力!$B$2="男",成長曲線_男!L71,成長曲線_女!L71)</f>
        <v>97.6</v>
      </c>
      <c r="O73">
        <f>IF(入力!$B$2="男",成長曲線_男!N71,成長曲線_女!N71)</f>
        <v>18.7</v>
      </c>
      <c r="P73">
        <f>IF(入力!$B$2="男",成長曲線_男!O71,成長曲線_女!O71)</f>
        <v>2.75</v>
      </c>
      <c r="Q73">
        <f>IF(入力!$B$2="男",成長曲線_男!P71,成長曲線_女!P71)</f>
        <v>24.2</v>
      </c>
      <c r="R73">
        <f>IF(入力!$B$2="男",成長曲線_男!Q71,成長曲線_女!Q71)</f>
        <v>21.45</v>
      </c>
      <c r="S73">
        <f>IF(入力!$B$2="男",成長曲線_男!R71,成長曲線_女!R71)</f>
        <v>15.95</v>
      </c>
      <c r="T73">
        <f>IF(入力!$B$2="男",成長曲線_男!S71,成長曲線_女!S71)</f>
        <v>13.2</v>
      </c>
      <c r="V73">
        <v>17.25</v>
      </c>
      <c r="W73">
        <f>IF(入力!$B$2="男",成長曲線_男!V71,成長曲線_女!V71)</f>
        <v>0.1</v>
      </c>
      <c r="X73">
        <f>IF(入力!$B$2="男",成長曲線_男!W71,成長曲線_女!W71)</f>
        <v>0.2</v>
      </c>
      <c r="Y73">
        <f>IF(入力!$B$2="男",成長曲線_男!X71,成長曲線_女!X71)</f>
        <v>0.5</v>
      </c>
      <c r="Z73">
        <f>IF(入力!$B$2="男",成長曲線_男!Y71,成長曲線_女!Y71)</f>
        <v>0.30000000000000004</v>
      </c>
      <c r="AA73">
        <f>IF(入力!$B$2="男",成長曲線_男!Z71,成長曲線_女!Z71)</f>
        <v>0</v>
      </c>
      <c r="AB73">
        <f>IF(入力!$B$2="男",成長曲線_男!AA71,成長曲線_女!AA71)</f>
        <v>0</v>
      </c>
      <c r="AE73">
        <f>IF($D73*12&lt;150,IF($D73*12&lt;IF(入力!$B$2="男",78,69),2,3),4)+IF(入力!$B$2="男",0,4)</f>
        <v>7</v>
      </c>
      <c r="AF73">
        <f t="shared" si="11"/>
        <v>-1.8001111721200003</v>
      </c>
      <c r="AG73">
        <f>IF($D73*12&lt;90,IF($D73*12&lt;26.75,IF($D73*12&lt;9.5,IF($D73*12&lt;2.5,2,3),4),5),6)+IF(入力!$B$2="男",0,6)+IF(AND(入力!$B$2&lt;&gt;"男",$D73*12&gt;=150),1,0)</f>
        <v>11</v>
      </c>
      <c r="AH73">
        <f t="shared" si="12"/>
        <v>15.359906693454999</v>
      </c>
      <c r="AI73">
        <f>IF(($D73*12)&lt;90,2,3)+IF(入力!$B$2="男",0,3)</f>
        <v>5</v>
      </c>
      <c r="AJ73">
        <f t="shared" si="13"/>
        <v>0.10208886648</v>
      </c>
      <c r="AK73">
        <f t="shared" si="10"/>
        <v>13.024665404655307</v>
      </c>
      <c r="AL73">
        <f t="shared" si="9"/>
        <v>13.657322212510932</v>
      </c>
      <c r="AM73">
        <f t="shared" si="9"/>
        <v>14.394518602955433</v>
      </c>
      <c r="AN73">
        <f t="shared" si="9"/>
        <v>15.359906693454999</v>
      </c>
      <c r="AO73">
        <f t="shared" si="9"/>
        <v>16.531623708179382</v>
      </c>
      <c r="AP73">
        <f t="shared" si="9"/>
        <v>17.831126277721452</v>
      </c>
      <c r="AQ73">
        <f t="shared" si="9"/>
        <v>19.440381308462921</v>
      </c>
    </row>
    <row r="74" spans="1:43" x14ac:dyDescent="0.15">
      <c r="A74">
        <f t="shared" si="8"/>
        <v>5</v>
      </c>
      <c r="B74" s="2">
        <v>10</v>
      </c>
      <c r="D74" s="3">
        <f t="shared" si="14"/>
        <v>5.833333333333333</v>
      </c>
      <c r="F74">
        <f>IF(入力!$B$2="男",成長曲線_男!E72,成長曲線_女!E72)</f>
        <v>111.6</v>
      </c>
      <c r="G74">
        <f>IF(入力!$B$2="男",成長曲線_男!F72,成長曲線_女!F72)</f>
        <v>4.5999999999999996</v>
      </c>
      <c r="H74">
        <f>IF(入力!$B$2="男",成長曲線_男!G72,成長曲線_女!G72)</f>
        <v>120.8</v>
      </c>
      <c r="I74">
        <f>IF(入力!$B$2="男",成長曲線_男!H72,成長曲線_女!H72)</f>
        <v>116.19999999999999</v>
      </c>
      <c r="J74">
        <f>IF(入力!$B$2="男",成長曲線_男!I72,成長曲線_女!I72)</f>
        <v>107</v>
      </c>
      <c r="K74">
        <f>IF(入力!$B$2="男",成長曲線_男!J72,成長曲線_女!J72)</f>
        <v>102.39999999999999</v>
      </c>
      <c r="L74">
        <f>IF(入力!$B$2="男",成長曲線_男!K72,成長曲線_女!K72)</f>
        <v>100.1</v>
      </c>
      <c r="M74">
        <f>IF(入力!$B$2="男",成長曲線_男!L72,成長曲線_女!L72)</f>
        <v>97.8</v>
      </c>
      <c r="O74">
        <f>IF(入力!$B$2="男",成長曲線_男!N72,成長曲線_女!N72)</f>
        <v>19</v>
      </c>
      <c r="P74">
        <f>IF(入力!$B$2="男",成長曲線_男!O72,成長曲線_女!O72)</f>
        <v>2.84</v>
      </c>
      <c r="Q74">
        <f>IF(入力!$B$2="男",成長曲線_男!P72,成長曲線_女!P72)</f>
        <v>24.68</v>
      </c>
      <c r="R74">
        <f>IF(入力!$B$2="男",成長曲線_男!Q72,成長曲線_女!Q72)</f>
        <v>21.84</v>
      </c>
      <c r="S74">
        <f>IF(入力!$B$2="男",成長曲線_男!R72,成長曲線_女!R72)</f>
        <v>16.16</v>
      </c>
      <c r="T74">
        <f>IF(入力!$B$2="男",成長曲線_男!S72,成長曲線_女!S72)</f>
        <v>13.32</v>
      </c>
      <c r="V74">
        <v>17.600000000000001</v>
      </c>
      <c r="W74">
        <f>IF(入力!$B$2="男",成長曲線_男!V72,成長曲線_女!V72)</f>
        <v>0</v>
      </c>
      <c r="X74">
        <f>IF(入力!$B$2="男",成長曲線_男!W72,成長曲線_女!W72)</f>
        <v>0</v>
      </c>
      <c r="Y74">
        <f>IF(入力!$B$2="男",成長曲線_男!X72,成長曲線_女!X72)</f>
        <v>0</v>
      </c>
      <c r="Z74">
        <f>IF(入力!$B$2="男",成長曲線_男!Y72,成長曲線_女!Y72)</f>
        <v>0</v>
      </c>
      <c r="AA74">
        <f>IF(入力!$B$2="男",成長曲線_男!Z72,成長曲線_女!Z72)</f>
        <v>0</v>
      </c>
      <c r="AB74">
        <f>IF(入力!$B$2="男",成長曲線_男!AA72,成長曲線_女!AA72)</f>
        <v>0</v>
      </c>
      <c r="AE74">
        <f>IF($D74*12&lt;150,IF($D74*12&lt;IF(入力!$B$2="男",78,69),2,3),4)+IF(入力!$B$2="男",0,4)</f>
        <v>7</v>
      </c>
      <c r="AF74">
        <f t="shared" si="11"/>
        <v>-1.8350893210000008</v>
      </c>
      <c r="AG74">
        <f>IF($D74*12&lt;90,IF($D74*12&lt;26.75,IF($D74*12&lt;9.5,IF($D74*12&lt;2.5,2,3),4),5),6)+IF(入力!$B$2="男",0,6)+IF(AND(入力!$B$2&lt;&gt;"男",$D74*12&gt;=150),1,0)</f>
        <v>11</v>
      </c>
      <c r="AH74">
        <f t="shared" si="12"/>
        <v>15.369969525</v>
      </c>
      <c r="AI74">
        <f>IF(($D74*12)&lt;90,2,3)+IF(入力!$B$2="男",0,3)</f>
        <v>5</v>
      </c>
      <c r="AJ74">
        <f t="shared" si="13"/>
        <v>0.10290858999999999</v>
      </c>
      <c r="AK74">
        <f t="shared" si="10"/>
        <v>13.023968470712981</v>
      </c>
      <c r="AL74">
        <f t="shared" si="9"/>
        <v>13.65777462800156</v>
      </c>
      <c r="AM74">
        <f t="shared" si="9"/>
        <v>14.397902826733594</v>
      </c>
      <c r="AN74">
        <f t="shared" si="9"/>
        <v>15.369969525</v>
      </c>
      <c r="AO74">
        <f t="shared" si="9"/>
        <v>16.554571655165216</v>
      </c>
      <c r="AP74">
        <f t="shared" si="9"/>
        <v>17.875175790283919</v>
      </c>
      <c r="AQ74">
        <f t="shared" si="9"/>
        <v>19.52165453931303</v>
      </c>
    </row>
    <row r="75" spans="1:43" x14ac:dyDescent="0.15">
      <c r="A75">
        <f t="shared" si="8"/>
        <v>5</v>
      </c>
      <c r="B75" s="2">
        <v>11</v>
      </c>
      <c r="D75" s="3">
        <f t="shared" si="14"/>
        <v>5.916666666666667</v>
      </c>
      <c r="F75">
        <f>IF(入力!$B$2="男",成長曲線_男!E73,成長曲線_女!E73)</f>
        <v>112.2</v>
      </c>
      <c r="G75">
        <f>IF(入力!$B$2="男",成長曲線_男!F73,成長曲線_女!F73)</f>
        <v>4.5999999999999996</v>
      </c>
      <c r="H75">
        <f>IF(入力!$B$2="男",成長曲線_男!G73,成長曲線_女!G73)</f>
        <v>121.4</v>
      </c>
      <c r="I75">
        <f>IF(入力!$B$2="男",成長曲線_男!H73,成長曲線_女!H73)</f>
        <v>116.8</v>
      </c>
      <c r="J75">
        <f>IF(入力!$B$2="男",成長曲線_男!I73,成長曲線_女!I73)</f>
        <v>107.60000000000001</v>
      </c>
      <c r="K75">
        <f>IF(入力!$B$2="男",成長曲線_男!J73,成長曲線_女!J73)</f>
        <v>103</v>
      </c>
      <c r="L75">
        <f>IF(入力!$B$2="男",成長曲線_男!K73,成長曲線_女!K73)</f>
        <v>100.7</v>
      </c>
      <c r="M75">
        <f>IF(入力!$B$2="男",成長曲線_男!L73,成長曲線_女!L73)</f>
        <v>98.4</v>
      </c>
      <c r="O75">
        <f>IF(入力!$B$2="男",成長曲線_男!N73,成長曲線_女!N73)</f>
        <v>19.3</v>
      </c>
      <c r="P75">
        <f>IF(入力!$B$2="男",成長曲線_男!O73,成長曲線_女!O73)</f>
        <v>2.93</v>
      </c>
      <c r="Q75">
        <f>IF(入力!$B$2="男",成長曲線_男!P73,成長曲線_女!P73)</f>
        <v>25.16</v>
      </c>
      <c r="R75">
        <f>IF(入力!$B$2="男",成長曲線_男!Q73,成長曲線_女!Q73)</f>
        <v>22.23</v>
      </c>
      <c r="S75">
        <f>IF(入力!$B$2="男",成長曲線_男!R73,成長曲線_女!R73)</f>
        <v>16.37</v>
      </c>
      <c r="T75">
        <f>IF(入力!$B$2="男",成長曲線_男!S73,成長曲線_女!S73)</f>
        <v>13.440000000000001</v>
      </c>
      <c r="AE75">
        <f>IF($D75*12&lt;150,IF($D75*12&lt;IF(入力!$B$2="男",78,69),2,3),4)+IF(入力!$B$2="男",0,4)</f>
        <v>7</v>
      </c>
      <c r="AF75">
        <f t="shared" si="11"/>
        <v>-1.8681296454800025</v>
      </c>
      <c r="AG75">
        <f>IF($D75*12&lt;90,IF($D75*12&lt;26.75,IF($D75*12&lt;9.5,IF($D75*12&lt;2.5,2,3),4),5),6)+IF(入力!$B$2="男",0,6)+IF(AND(入力!$B$2&lt;&gt;"男",$D75*12&gt;=150),1,0)</f>
        <v>11</v>
      </c>
      <c r="AH75">
        <f t="shared" si="12"/>
        <v>15.380531040445</v>
      </c>
      <c r="AI75">
        <f>IF(($D75*12)&lt;90,2,3)+IF(入力!$B$2="男",0,3)</f>
        <v>5</v>
      </c>
      <c r="AJ75">
        <f t="shared" si="13"/>
        <v>0.10373179212000001</v>
      </c>
      <c r="AK75">
        <f t="shared" si="10"/>
        <v>13.023450524844291</v>
      </c>
      <c r="AL75">
        <f t="shared" si="9"/>
        <v>13.65852989392952</v>
      </c>
      <c r="AM75">
        <f t="shared" si="9"/>
        <v>14.401694586265647</v>
      </c>
      <c r="AN75">
        <f t="shared" si="9"/>
        <v>15.380531040445</v>
      </c>
      <c r="AO75">
        <f t="shared" si="9"/>
        <v>16.578108733182798</v>
      </c>
      <c r="AP75">
        <f t="shared" si="9"/>
        <v>17.919994492190597</v>
      </c>
      <c r="AQ75">
        <f t="shared" si="9"/>
        <v>19.604285962579333</v>
      </c>
    </row>
    <row r="76" spans="1:43" x14ac:dyDescent="0.15">
      <c r="A76">
        <f t="shared" si="8"/>
        <v>6</v>
      </c>
      <c r="B76" s="2">
        <v>0</v>
      </c>
      <c r="D76" s="3">
        <f t="shared" si="14"/>
        <v>6</v>
      </c>
      <c r="F76">
        <f>IF(入力!$B$2="男",成長曲線_男!E74,成長曲線_女!E74)</f>
        <v>112.7</v>
      </c>
      <c r="G76">
        <f>IF(入力!$B$2="男",成長曲線_男!F74,成長曲線_女!F74)</f>
        <v>4.5999999999999996</v>
      </c>
      <c r="H76">
        <f>IF(入力!$B$2="男",成長曲線_男!G74,成長曲線_女!G74)</f>
        <v>121.9</v>
      </c>
      <c r="I76">
        <f>IF(入力!$B$2="男",成長曲線_男!H74,成長曲線_女!H74)</f>
        <v>117.3</v>
      </c>
      <c r="J76">
        <f>IF(入力!$B$2="男",成長曲線_男!I74,成長曲線_女!I74)</f>
        <v>108.10000000000001</v>
      </c>
      <c r="K76">
        <f>IF(入力!$B$2="男",成長曲線_男!J74,成長曲線_女!J74)</f>
        <v>103.5</v>
      </c>
      <c r="L76">
        <f>IF(入力!$B$2="男",成長曲線_男!K74,成長曲線_女!K74)</f>
        <v>101.2</v>
      </c>
      <c r="M76">
        <f>IF(入力!$B$2="男",成長曲線_男!L74,成長曲線_女!L74)</f>
        <v>98.9</v>
      </c>
      <c r="O76">
        <f>IF(入力!$B$2="男",成長曲線_男!N74,成長曲線_女!N74)</f>
        <v>19.600000000000001</v>
      </c>
      <c r="P76">
        <f>IF(入力!$B$2="男",成長曲線_男!O74,成長曲線_女!O74)</f>
        <v>3.02</v>
      </c>
      <c r="Q76">
        <f>IF(入力!$B$2="男",成長曲線_男!P74,成長曲線_女!P74)</f>
        <v>25.64</v>
      </c>
      <c r="R76">
        <f>IF(入力!$B$2="男",成長曲線_男!Q74,成長曲線_女!Q74)</f>
        <v>22.62</v>
      </c>
      <c r="S76">
        <f>IF(入力!$B$2="男",成長曲線_男!R74,成長曲線_女!R74)</f>
        <v>16.580000000000002</v>
      </c>
      <c r="T76">
        <f>IF(入力!$B$2="男",成長曲線_男!S74,成長曲線_女!S74)</f>
        <v>13.560000000000002</v>
      </c>
      <c r="AE76">
        <f>IF($D76*12&lt;150,IF($D76*12&lt;IF(入力!$B$2="男",78,69),2,3),4)+IF(入力!$B$2="男",0,4)</f>
        <v>7</v>
      </c>
      <c r="AF76">
        <f t="shared" si="11"/>
        <v>-1.8992671716399991</v>
      </c>
      <c r="AG76">
        <f>IF($D76*12&lt;90,IF($D76*12&lt;26.75,IF($D76*12&lt;9.5,IF($D76*12&lt;2.5,2,3),4),5),6)+IF(入力!$B$2="男",0,6)+IF(AND(入力!$B$2&lt;&gt;"男",$D76*12&gt;=150),1,0)</f>
        <v>11</v>
      </c>
      <c r="AH76">
        <f t="shared" si="12"/>
        <v>15.39158835976</v>
      </c>
      <c r="AI76">
        <f>IF(($D76*12)&lt;90,2,3)+IF(入力!$B$2="男",0,3)</f>
        <v>5</v>
      </c>
      <c r="AJ76">
        <f t="shared" si="13"/>
        <v>0.10455785976000001</v>
      </c>
      <c r="AK76">
        <f t="shared" si="10"/>
        <v>13.02311903057149</v>
      </c>
      <c r="AL76">
        <f t="shared" si="9"/>
        <v>13.659592171486025</v>
      </c>
      <c r="AM76">
        <f t="shared" si="9"/>
        <v>14.405895155330716</v>
      </c>
      <c r="AN76">
        <f t="shared" si="9"/>
        <v>15.39158835976</v>
      </c>
      <c r="AO76">
        <f t="shared" si="9"/>
        <v>16.60222296289994</v>
      </c>
      <c r="AP76">
        <f t="shared" si="9"/>
        <v>17.965551367490335</v>
      </c>
      <c r="AQ76">
        <f t="shared" si="9"/>
        <v>19.68820923238038</v>
      </c>
    </row>
    <row r="77" spans="1:43" x14ac:dyDescent="0.15">
      <c r="A77">
        <f t="shared" si="8"/>
        <v>6</v>
      </c>
      <c r="B77" s="2">
        <v>1</v>
      </c>
      <c r="D77" s="3">
        <f t="shared" si="14"/>
        <v>6.083333333333333</v>
      </c>
      <c r="F77">
        <f>IF(入力!$B$2="男",成長曲線_男!E75,成長曲線_女!E75)</f>
        <v>113.3</v>
      </c>
      <c r="G77">
        <f>IF(入力!$B$2="男",成長曲線_男!F75,成長曲線_女!F75)</f>
        <v>4.7</v>
      </c>
      <c r="H77">
        <f>IF(入力!$B$2="男",成長曲線_男!G75,成長曲線_女!G75)</f>
        <v>122.7</v>
      </c>
      <c r="I77">
        <f>IF(入力!$B$2="男",成長曲線_男!H75,成長曲線_女!H75)</f>
        <v>118</v>
      </c>
      <c r="J77">
        <f>IF(入力!$B$2="男",成長曲線_男!I75,成長曲線_女!I75)</f>
        <v>108.6</v>
      </c>
      <c r="K77">
        <f>IF(入力!$B$2="男",成長曲線_男!J75,成長曲線_女!J75)</f>
        <v>103.89999999999999</v>
      </c>
      <c r="L77">
        <f>IF(入力!$B$2="男",成長曲線_男!K75,成長曲線_女!K75)</f>
        <v>101.55</v>
      </c>
      <c r="M77">
        <f>IF(入力!$B$2="男",成長曲線_男!L75,成長曲線_女!L75)</f>
        <v>99.199999999999989</v>
      </c>
      <c r="O77">
        <f>IF(入力!$B$2="男",成長曲線_男!N75,成長曲線_女!N75)</f>
        <v>19.899999999999999</v>
      </c>
      <c r="P77">
        <f>IF(入力!$B$2="男",成長曲線_男!O75,成長曲線_女!O75)</f>
        <v>3.11</v>
      </c>
      <c r="Q77">
        <f>IF(入力!$B$2="男",成長曲線_男!P75,成長曲線_女!P75)</f>
        <v>26.119999999999997</v>
      </c>
      <c r="R77">
        <f>IF(入力!$B$2="男",成長曲線_男!Q75,成長曲線_女!Q75)</f>
        <v>23.009999999999998</v>
      </c>
      <c r="S77">
        <f>IF(入力!$B$2="男",成長曲線_男!R75,成長曲線_女!R75)</f>
        <v>16.79</v>
      </c>
      <c r="T77">
        <f>IF(入力!$B$2="男",成長曲線_男!S75,成長曲線_女!S75)</f>
        <v>13.68</v>
      </c>
      <c r="AE77">
        <f>IF($D77*12&lt;150,IF($D77*12&lt;IF(入力!$B$2="男",78,69),2,3),4)+IF(入力!$B$2="男",0,4)</f>
        <v>7</v>
      </c>
      <c r="AF77">
        <f t="shared" si="11"/>
        <v>-1.9285369255600004</v>
      </c>
      <c r="AG77">
        <f>IF($D77*12&lt;90,IF($D77*12&lt;26.75,IF($D77*12&lt;9.5,IF($D77*12&lt;2.5,2,3),4),5),6)+IF(入力!$B$2="男",0,6)+IF(AND(入力!$B$2&lt;&gt;"男",$D77*12&gt;=150),1,0)</f>
        <v>11</v>
      </c>
      <c r="AH77">
        <f t="shared" si="12"/>
        <v>15.403138602915</v>
      </c>
      <c r="AI77">
        <f>IF(($D77*12)&lt;90,2,3)+IF(入力!$B$2="男",0,3)</f>
        <v>5</v>
      </c>
      <c r="AJ77">
        <f t="shared" si="13"/>
        <v>0.10538617984000001</v>
      </c>
      <c r="AK77">
        <f t="shared" si="10"/>
        <v>13.022981065580939</v>
      </c>
      <c r="AL77">
        <f t="shared" si="9"/>
        <v>13.660965439899043</v>
      </c>
      <c r="AM77">
        <f t="shared" si="9"/>
        <v>14.410505756489515</v>
      </c>
      <c r="AN77">
        <f t="shared" si="9"/>
        <v>15.403138602915</v>
      </c>
      <c r="AO77">
        <f t="shared" si="9"/>
        <v>16.626902178247889</v>
      </c>
      <c r="AP77">
        <f t="shared" si="9"/>
        <v>18.011814199098104</v>
      </c>
      <c r="AQ77">
        <f t="shared" si="9"/>
        <v>19.773352775906893</v>
      </c>
    </row>
    <row r="78" spans="1:43" x14ac:dyDescent="0.15">
      <c r="A78">
        <f t="shared" si="8"/>
        <v>6</v>
      </c>
      <c r="B78" s="2">
        <v>2</v>
      </c>
      <c r="D78" s="3">
        <f t="shared" si="14"/>
        <v>6.166666666666667</v>
      </c>
      <c r="F78">
        <f>IF(入力!$B$2="男",成長曲線_男!E76,成長曲線_女!E76)</f>
        <v>113.8</v>
      </c>
      <c r="G78">
        <f>IF(入力!$B$2="男",成長曲線_男!F76,成長曲線_女!F76)</f>
        <v>4.7</v>
      </c>
      <c r="H78">
        <f>IF(入力!$B$2="男",成長曲線_男!G76,成長曲線_女!G76)</f>
        <v>123.2</v>
      </c>
      <c r="I78">
        <f>IF(入力!$B$2="男",成長曲線_男!H76,成長曲線_女!H76)</f>
        <v>118.5</v>
      </c>
      <c r="J78">
        <f>IF(入力!$B$2="男",成長曲線_男!I76,成長曲線_女!I76)</f>
        <v>109.1</v>
      </c>
      <c r="K78">
        <f>IF(入力!$B$2="男",成長曲線_男!J76,成長曲線_女!J76)</f>
        <v>104.39999999999999</v>
      </c>
      <c r="L78">
        <f>IF(入力!$B$2="男",成長曲線_男!K76,成長曲線_女!K76)</f>
        <v>102.05</v>
      </c>
      <c r="M78">
        <f>IF(入力!$B$2="男",成長曲線_男!L76,成長曲線_女!L76)</f>
        <v>99.699999999999989</v>
      </c>
      <c r="O78">
        <f>IF(入力!$B$2="男",成長曲線_男!N76,成長曲線_女!N76)</f>
        <v>20.2</v>
      </c>
      <c r="P78">
        <f>IF(入力!$B$2="男",成長曲線_男!O76,成長曲線_女!O76)</f>
        <v>3.19</v>
      </c>
      <c r="Q78">
        <f>IF(入力!$B$2="男",成長曲線_男!P76,成長曲線_女!P76)</f>
        <v>26.58</v>
      </c>
      <c r="R78">
        <f>IF(入力!$B$2="男",成長曲線_男!Q76,成長曲線_女!Q76)</f>
        <v>23.39</v>
      </c>
      <c r="S78">
        <f>IF(入力!$B$2="男",成長曲線_男!R76,成長曲線_女!R76)</f>
        <v>17.009999999999998</v>
      </c>
      <c r="T78">
        <f>IF(入力!$B$2="男",成長曲線_男!S76,成長曲線_女!S76)</f>
        <v>13.82</v>
      </c>
      <c r="AE78">
        <f>IF($D78*12&lt;150,IF($D78*12&lt;IF(入力!$B$2="男",78,69),2,3),4)+IF(入力!$B$2="男",0,4)</f>
        <v>7</v>
      </c>
      <c r="AF78">
        <f t="shared" si="11"/>
        <v>-1.9559739333200019</v>
      </c>
      <c r="AG78">
        <f>IF($D78*12&lt;90,IF($D78*12&lt;26.75,IF($D78*12&lt;9.5,IF($D78*12&lt;2.5,2,3),4),5),6)+IF(入力!$B$2="男",0,6)+IF(AND(入力!$B$2&lt;&gt;"男",$D78*12&gt;=150),1,0)</f>
        <v>11</v>
      </c>
      <c r="AH78">
        <f t="shared" si="12"/>
        <v>15.41517888988</v>
      </c>
      <c r="AI78">
        <f>IF(($D78*12)&lt;90,2,3)+IF(入力!$B$2="男",0,3)</f>
        <v>5</v>
      </c>
      <c r="AJ78">
        <f t="shared" si="13"/>
        <v>0.10621613928000002</v>
      </c>
      <c r="AK78">
        <f t="shared" si="10"/>
        <v>13.023043358642321</v>
      </c>
      <c r="AL78">
        <f t="shared" si="9"/>
        <v>13.662653515772437</v>
      </c>
      <c r="AM78">
        <f t="shared" si="9"/>
        <v>14.415527568067201</v>
      </c>
      <c r="AN78">
        <f t="shared" si="9"/>
        <v>15.41517888988</v>
      </c>
      <c r="AO78">
        <f t="shared" si="9"/>
        <v>16.652134032657067</v>
      </c>
      <c r="AP78">
        <f t="shared" si="9"/>
        <v>18.058749593404333</v>
      </c>
      <c r="AQ78">
        <f t="shared" si="9"/>
        <v>19.859639722340834</v>
      </c>
    </row>
    <row r="79" spans="1:43" x14ac:dyDescent="0.15">
      <c r="A79">
        <f t="shared" si="8"/>
        <v>6</v>
      </c>
      <c r="B79" s="2">
        <v>3</v>
      </c>
      <c r="D79" s="3">
        <f t="shared" si="14"/>
        <v>6.25</v>
      </c>
      <c r="F79">
        <f>IF(入力!$B$2="男",成長曲線_男!E77,成長曲線_女!E77)</f>
        <v>114.1</v>
      </c>
      <c r="G79">
        <f>IF(入力!$B$2="男",成長曲線_男!F77,成長曲線_女!F77)</f>
        <v>4.5999999999999996</v>
      </c>
      <c r="H79">
        <f>IF(入力!$B$2="男",成長曲線_男!G77,成長曲線_女!G77)</f>
        <v>123.3</v>
      </c>
      <c r="I79">
        <f>IF(入力!$B$2="男",成長曲線_男!H77,成長曲線_女!H77)</f>
        <v>118.69999999999999</v>
      </c>
      <c r="J79">
        <f>IF(入力!$B$2="男",成長曲線_男!I77,成長曲線_女!I77)</f>
        <v>109.5</v>
      </c>
      <c r="K79">
        <f>IF(入力!$B$2="男",成長曲線_男!J77,成長曲線_女!J77)</f>
        <v>104.89999999999999</v>
      </c>
      <c r="L79">
        <f>IF(入力!$B$2="男",成長曲線_男!K77,成長曲線_女!K77)</f>
        <v>102.6</v>
      </c>
      <c r="M79">
        <f>IF(入力!$B$2="男",成長曲線_男!L77,成長曲線_女!L77)</f>
        <v>100.3</v>
      </c>
      <c r="O79">
        <f>IF(入力!$B$2="男",成長曲線_男!N77,成長曲線_女!N77)</f>
        <v>20.399999999999999</v>
      </c>
      <c r="P79">
        <f>IF(入力!$B$2="男",成長曲線_男!O77,成長曲線_女!O77)</f>
        <v>3.28</v>
      </c>
      <c r="Q79">
        <f>IF(入力!$B$2="男",成長曲線_男!P77,成長曲線_女!P77)</f>
        <v>26.959999999999997</v>
      </c>
      <c r="R79">
        <f>IF(入力!$B$2="男",成長曲線_男!Q77,成長曲線_女!Q77)</f>
        <v>23.68</v>
      </c>
      <c r="S79">
        <f>IF(入力!$B$2="男",成長曲線_男!R77,成長曲線_女!R77)</f>
        <v>17.119999999999997</v>
      </c>
      <c r="T79">
        <f>IF(入力!$B$2="男",成長曲線_男!S77,成長曲線_女!S77)</f>
        <v>13.84</v>
      </c>
      <c r="AE79">
        <f>IF($D79*12&lt;150,IF($D79*12&lt;IF(入力!$B$2="男",78,69),2,3),4)+IF(入力!$B$2="男",0,4)</f>
        <v>7</v>
      </c>
      <c r="AF79">
        <f t="shared" si="11"/>
        <v>-1.981613220999999</v>
      </c>
      <c r="AG79">
        <f>IF($D79*12&lt;90,IF($D79*12&lt;26.75,IF($D79*12&lt;9.5,IF($D79*12&lt;2.5,2,3),4),5),6)+IF(入力!$B$2="男",0,6)+IF(AND(入力!$B$2&lt;&gt;"男",$D79*12&gt;=150),1,0)</f>
        <v>11</v>
      </c>
      <c r="AH79">
        <f t="shared" si="12"/>
        <v>15.427706340625001</v>
      </c>
      <c r="AI79">
        <f>IF(($D79*12)&lt;90,2,3)+IF(入力!$B$2="男",0,3)</f>
        <v>5</v>
      </c>
      <c r="AJ79">
        <f t="shared" si="13"/>
        <v>0.10704712500000001</v>
      </c>
      <c r="AK79">
        <f t="shared" si="10"/>
        <v>13.023312324929631</v>
      </c>
      <c r="AL79">
        <f t="shared" si="9"/>
        <v>13.664660071897238</v>
      </c>
      <c r="AM79">
        <f t="shared" si="9"/>
        <v>14.420961731073833</v>
      </c>
      <c r="AN79">
        <f t="shared" si="9"/>
        <v>15.427706340625001</v>
      </c>
      <c r="AO79">
        <f t="shared" si="9"/>
        <v>16.677906006036373</v>
      </c>
      <c r="AP79">
        <f t="shared" si="9"/>
        <v>18.106323012049859</v>
      </c>
      <c r="AQ79">
        <f t="shared" si="9"/>
        <v>19.946987865402264</v>
      </c>
    </row>
    <row r="80" spans="1:43" x14ac:dyDescent="0.15">
      <c r="A80">
        <f t="shared" si="8"/>
        <v>6</v>
      </c>
      <c r="B80" s="2">
        <v>4</v>
      </c>
      <c r="D80" s="3">
        <f t="shared" si="14"/>
        <v>6.333333333333333</v>
      </c>
      <c r="F80">
        <f>IF(入力!$B$2="男",成長曲線_男!E78,成長曲線_女!E78)</f>
        <v>114.6</v>
      </c>
      <c r="G80">
        <f>IF(入力!$B$2="男",成長曲線_男!F78,成長曲線_女!F78)</f>
        <v>4.7</v>
      </c>
      <c r="H80">
        <f>IF(入力!$B$2="男",成長曲線_男!G78,成長曲線_女!G78)</f>
        <v>124</v>
      </c>
      <c r="I80">
        <f>IF(入力!$B$2="男",成長曲線_男!H78,成長曲線_女!H78)</f>
        <v>119.3</v>
      </c>
      <c r="J80">
        <f>IF(入力!$B$2="男",成長曲線_男!I78,成長曲線_女!I78)</f>
        <v>109.89999999999999</v>
      </c>
      <c r="K80">
        <f>IF(入力!$B$2="男",成長曲線_男!J78,成長曲線_女!J78)</f>
        <v>105.19999999999999</v>
      </c>
      <c r="L80">
        <f>IF(入力!$B$2="男",成長曲線_男!K78,成長曲線_女!K78)</f>
        <v>102.85</v>
      </c>
      <c r="M80">
        <f>IF(入力!$B$2="男",成長曲線_男!L78,成長曲線_女!L78)</f>
        <v>100.5</v>
      </c>
      <c r="O80">
        <f>IF(入力!$B$2="男",成長曲線_男!N78,成長曲線_女!N78)</f>
        <v>20.7</v>
      </c>
      <c r="P80">
        <f>IF(入力!$B$2="男",成長曲線_男!O78,成長曲線_女!O78)</f>
        <v>3.37</v>
      </c>
      <c r="Q80">
        <f>IF(入力!$B$2="男",成長曲線_男!P78,成長曲線_女!P78)</f>
        <v>27.439999999999998</v>
      </c>
      <c r="R80">
        <f>IF(入力!$B$2="男",成長曲線_男!Q78,成長曲線_女!Q78)</f>
        <v>24.07</v>
      </c>
      <c r="S80">
        <f>IF(入力!$B$2="男",成長曲線_男!R78,成長曲線_女!R78)</f>
        <v>17.329999999999998</v>
      </c>
      <c r="T80">
        <f>IF(入力!$B$2="男",成長曲線_男!S78,成長曲線_女!S78)</f>
        <v>13.959999999999999</v>
      </c>
      <c r="AE80">
        <f>IF($D80*12&lt;150,IF($D80*12&lt;IF(入力!$B$2="男",78,69),2,3),4)+IF(入力!$B$2="男",0,4)</f>
        <v>7</v>
      </c>
      <c r="AF80">
        <f t="shared" si="11"/>
        <v>-2.0054898146800015</v>
      </c>
      <c r="AG80">
        <f>IF($D80*12&lt;90,IF($D80*12&lt;26.75,IF($D80*12&lt;9.5,IF($D80*12&lt;2.5,2,3),4),5),6)+IF(入力!$B$2="男",0,6)+IF(AND(入力!$B$2&lt;&gt;"男",$D80*12&gt;=150),1,0)</f>
        <v>11</v>
      </c>
      <c r="AH80">
        <f t="shared" si="12"/>
        <v>15.440718075119999</v>
      </c>
      <c r="AI80">
        <f>IF(($D80*12)&lt;90,2,3)+IF(入力!$B$2="男",0,3)</f>
        <v>5</v>
      </c>
      <c r="AJ80">
        <f t="shared" si="13"/>
        <v>0.10787852392</v>
      </c>
      <c r="AK80">
        <f t="shared" si="10"/>
        <v>13.023794099902972</v>
      </c>
      <c r="AL80">
        <f t="shared" si="9"/>
        <v>13.666988655586691</v>
      </c>
      <c r="AM80">
        <f t="shared" si="9"/>
        <v>14.426809356069365</v>
      </c>
      <c r="AN80">
        <f t="shared" si="9"/>
        <v>15.440718075119999</v>
      </c>
      <c r="AO80">
        <f t="shared" si="9"/>
        <v>16.704205412492612</v>
      </c>
      <c r="AP80">
        <f t="shared" si="9"/>
        <v>18.154498811118199</v>
      </c>
      <c r="AQ80">
        <f t="shared" si="9"/>
        <v>20.035309663543369</v>
      </c>
    </row>
    <row r="81" spans="1:43" x14ac:dyDescent="0.15">
      <c r="A81">
        <f t="shared" si="8"/>
        <v>6</v>
      </c>
      <c r="B81" s="2">
        <v>5</v>
      </c>
      <c r="D81" s="3">
        <f t="shared" si="14"/>
        <v>6.416666666666667</v>
      </c>
      <c r="F81">
        <f>IF(入力!$B$2="男",成長曲線_男!E79,成長曲線_女!E79)</f>
        <v>115.2</v>
      </c>
      <c r="G81">
        <f>IF(入力!$B$2="男",成長曲線_男!F79,成長曲線_女!F79)</f>
        <v>4.8</v>
      </c>
      <c r="H81">
        <f>IF(入力!$B$2="男",成長曲線_男!G79,成長曲線_女!G79)</f>
        <v>124.8</v>
      </c>
      <c r="I81">
        <f>IF(入力!$B$2="男",成長曲線_男!H79,成長曲線_女!H79)</f>
        <v>120</v>
      </c>
      <c r="J81">
        <f>IF(入力!$B$2="男",成長曲線_男!I79,成長曲線_女!I79)</f>
        <v>110.4</v>
      </c>
      <c r="K81">
        <f>IF(入力!$B$2="男",成長曲線_男!J79,成長曲線_女!J79)</f>
        <v>105.60000000000001</v>
      </c>
      <c r="L81">
        <f>IF(入力!$B$2="男",成長曲線_男!K79,成長曲線_女!K79)</f>
        <v>103.2</v>
      </c>
      <c r="M81">
        <f>IF(入力!$B$2="男",成長曲線_男!L79,成長曲線_女!L79)</f>
        <v>100.80000000000001</v>
      </c>
      <c r="O81">
        <f>IF(入力!$B$2="男",成長曲線_男!N79,成長曲線_女!N79)</f>
        <v>21</v>
      </c>
      <c r="P81">
        <f>IF(入力!$B$2="男",成長曲線_男!O79,成長曲線_女!O79)</f>
        <v>3.46</v>
      </c>
      <c r="Q81">
        <f>IF(入力!$B$2="男",成長曲線_男!P79,成長曲線_女!P79)</f>
        <v>27.92</v>
      </c>
      <c r="R81">
        <f>IF(入力!$B$2="男",成長曲線_男!Q79,成長曲線_女!Q79)</f>
        <v>24.46</v>
      </c>
      <c r="S81">
        <f>IF(入力!$B$2="男",成長曲線_男!R79,成長曲線_女!R79)</f>
        <v>17.54</v>
      </c>
      <c r="T81">
        <f>IF(入力!$B$2="男",成長曲線_男!S79,成長曲線_女!S79)</f>
        <v>14.08</v>
      </c>
      <c r="AE81">
        <f>IF($D81*12&lt;150,IF($D81*12&lt;IF(入力!$B$2="男",78,69),2,3),4)+IF(入力!$B$2="男",0,4)</f>
        <v>7</v>
      </c>
      <c r="AF81">
        <f t="shared" si="11"/>
        <v>-2.0276387404400014</v>
      </c>
      <c r="AG81">
        <f>IF($D81*12&lt;90,IF($D81*12&lt;26.75,IF($D81*12&lt;9.5,IF($D81*12&lt;2.5,2,3),4),5),6)+IF(入力!$B$2="男",0,6)+IF(AND(入力!$B$2&lt;&gt;"男",$D81*12&gt;=150),1,0)</f>
        <v>11</v>
      </c>
      <c r="AH81">
        <f t="shared" si="12"/>
        <v>15.454211213335</v>
      </c>
      <c r="AI81">
        <f>IF(($D81*12)&lt;90,2,3)+IF(入力!$B$2="男",0,3)</f>
        <v>5</v>
      </c>
      <c r="AJ81">
        <f t="shared" si="13"/>
        <v>0.10870972296000002</v>
      </c>
      <c r="AK81">
        <f t="shared" si="10"/>
        <v>13.024494571895538</v>
      </c>
      <c r="AL81">
        <f t="shared" si="9"/>
        <v>13.66964270658206</v>
      </c>
      <c r="AM81">
        <f t="shared" si="9"/>
        <v>14.433071529979514</v>
      </c>
      <c r="AN81">
        <f t="shared" si="9"/>
        <v>15.454211213335</v>
      </c>
      <c r="AO81">
        <f t="shared" si="9"/>
        <v>16.731019408781176</v>
      </c>
      <c r="AP81">
        <f t="shared" si="9"/>
        <v>18.203240287937877</v>
      </c>
      <c r="AQ81">
        <f t="shared" si="9"/>
        <v>20.124512281713901</v>
      </c>
    </row>
    <row r="82" spans="1:43" x14ac:dyDescent="0.15">
      <c r="A82">
        <f t="shared" si="8"/>
        <v>6</v>
      </c>
      <c r="B82" s="2">
        <v>6</v>
      </c>
      <c r="D82" s="3">
        <f t="shared" si="14"/>
        <v>6.5</v>
      </c>
      <c r="F82">
        <f>IF(入力!$B$2="男",成長曲線_男!E80,成長曲線_女!E80)</f>
        <v>115.8</v>
      </c>
      <c r="G82">
        <f>IF(入力!$B$2="男",成長曲線_男!F80,成長曲線_女!F80)</f>
        <v>4.9000000000000004</v>
      </c>
      <c r="H82">
        <f>IF(入力!$B$2="男",成長曲線_男!G80,成長曲線_女!G80)</f>
        <v>125.6</v>
      </c>
      <c r="I82">
        <f>IF(入力!$B$2="男",成長曲線_男!H80,成長曲線_女!H80)</f>
        <v>120.7</v>
      </c>
      <c r="J82">
        <f>IF(入力!$B$2="男",成長曲線_男!I80,成長曲線_女!I80)</f>
        <v>110.89999999999999</v>
      </c>
      <c r="K82">
        <f>IF(入力!$B$2="男",成長曲線_男!J80,成長曲線_女!J80)</f>
        <v>106</v>
      </c>
      <c r="L82">
        <f>IF(入力!$B$2="男",成長曲線_男!K80,成長曲線_女!K80)</f>
        <v>103.55</v>
      </c>
      <c r="M82">
        <f>IF(入力!$B$2="男",成長曲線_男!L80,成長曲線_女!L80)</f>
        <v>101.1</v>
      </c>
      <c r="O82">
        <f>IF(入力!$B$2="男",成長曲線_男!N80,成長曲線_女!N80)</f>
        <v>21.3</v>
      </c>
      <c r="P82">
        <f>IF(入力!$B$2="男",成長曲線_男!O80,成長曲線_女!O80)</f>
        <v>3.55</v>
      </c>
      <c r="Q82">
        <f>IF(入力!$B$2="男",成長曲線_男!P80,成長曲線_女!P80)</f>
        <v>28.4</v>
      </c>
      <c r="R82">
        <f>IF(入力!$B$2="男",成長曲線_男!Q80,成長曲線_女!Q80)</f>
        <v>24.85</v>
      </c>
      <c r="S82">
        <f>IF(入力!$B$2="男",成長曲線_男!R80,成長曲線_女!R80)</f>
        <v>17.75</v>
      </c>
      <c r="T82">
        <f>IF(入力!$B$2="男",成長曲線_男!S80,成長曲線_女!S80)</f>
        <v>14.200000000000001</v>
      </c>
      <c r="AE82">
        <f>IF($D82*12&lt;150,IF($D82*12&lt;IF(入力!$B$2="男",78,69),2,3),4)+IF(入力!$B$2="男",0,4)</f>
        <v>7</v>
      </c>
      <c r="AF82">
        <f t="shared" si="11"/>
        <v>-2.0480950243599993</v>
      </c>
      <c r="AG82">
        <f>IF($D82*12&lt;90,IF($D82*12&lt;26.75,IF($D82*12&lt;9.5,IF($D82*12&lt;2.5,2,3),4),5),6)+IF(入力!$B$2="男",0,6)+IF(AND(入力!$B$2&lt;&gt;"男",$D82*12&gt;=150),1,0)</f>
        <v>11</v>
      </c>
      <c r="AH82">
        <f t="shared" si="12"/>
        <v>15.46818287524</v>
      </c>
      <c r="AI82">
        <f>IF(($D82*12)&lt;90,2,3)+IF(入力!$B$2="男",0,3)</f>
        <v>5</v>
      </c>
      <c r="AJ82">
        <f t="shared" si="13"/>
        <v>0.10954010904000001</v>
      </c>
      <c r="AK82">
        <f t="shared" si="10"/>
        <v>13.025419413537161</v>
      </c>
      <c r="AL82">
        <f t="shared" si="9"/>
        <v>13.672625574572114</v>
      </c>
      <c r="AM82">
        <f t="shared" si="9"/>
        <v>14.439749322867744</v>
      </c>
      <c r="AN82">
        <f t="shared" si="9"/>
        <v>15.46818287524</v>
      </c>
      <c r="AO82">
        <f t="shared" si="9"/>
        <v>16.758335003473263</v>
      </c>
      <c r="AP82">
        <f t="shared" si="9"/>
        <v>18.25250973562143</v>
      </c>
      <c r="AQ82">
        <f t="shared" si="9"/>
        <v>20.214497678432277</v>
      </c>
    </row>
    <row r="83" spans="1:43" x14ac:dyDescent="0.15">
      <c r="A83">
        <f t="shared" si="8"/>
        <v>6</v>
      </c>
      <c r="B83" s="2">
        <v>7</v>
      </c>
      <c r="D83" s="3">
        <f t="shared" si="14"/>
        <v>6.583333333333333</v>
      </c>
      <c r="F83">
        <f>IF(入力!$B$2="男",成長曲線_男!E81,成長曲線_女!E81)</f>
        <v>116.3</v>
      </c>
      <c r="G83">
        <f>IF(入力!$B$2="男",成長曲線_男!F81,成長曲線_女!F81)</f>
        <v>4.9000000000000004</v>
      </c>
      <c r="H83">
        <f>IF(入力!$B$2="男",成長曲線_男!G81,成長曲線_女!G81)</f>
        <v>126.1</v>
      </c>
      <c r="I83">
        <f>IF(入力!$B$2="男",成長曲線_男!H81,成長曲線_女!H81)</f>
        <v>121.2</v>
      </c>
      <c r="J83">
        <f>IF(入力!$B$2="男",成長曲線_男!I81,成長曲線_女!I81)</f>
        <v>111.39999999999999</v>
      </c>
      <c r="K83">
        <f>IF(入力!$B$2="男",成長曲線_男!J81,成長曲線_女!J81)</f>
        <v>106.5</v>
      </c>
      <c r="L83">
        <f>IF(入力!$B$2="男",成長曲線_男!K81,成長曲線_女!K81)</f>
        <v>104.05</v>
      </c>
      <c r="M83">
        <f>IF(入力!$B$2="男",成長曲線_男!L81,成長曲線_女!L81)</f>
        <v>101.6</v>
      </c>
      <c r="O83">
        <f>IF(入力!$B$2="男",成長曲線_男!N81,成長曲線_女!N81)</f>
        <v>21.5</v>
      </c>
      <c r="P83">
        <f>IF(入力!$B$2="男",成長曲線_男!O81,成長曲線_女!O81)</f>
        <v>3.61</v>
      </c>
      <c r="Q83">
        <f>IF(入力!$B$2="男",成長曲線_男!P81,成長曲線_女!P81)</f>
        <v>28.72</v>
      </c>
      <c r="R83">
        <f>IF(入力!$B$2="男",成長曲線_男!Q81,成長曲線_女!Q81)</f>
        <v>25.11</v>
      </c>
      <c r="S83">
        <f>IF(入力!$B$2="男",成長曲線_男!R81,成長曲線_女!R81)</f>
        <v>17.89</v>
      </c>
      <c r="T83">
        <f>IF(入力!$B$2="男",成長曲線_男!S81,成長曲線_女!S81)</f>
        <v>14.280000000000001</v>
      </c>
      <c r="AE83">
        <f>IF($D83*12&lt;150,IF($D83*12&lt;IF(入力!$B$2="男",78,69),2,3),4)+IF(入力!$B$2="男",0,4)</f>
        <v>7</v>
      </c>
      <c r="AF83">
        <f t="shared" si="11"/>
        <v>-2.0668936925200017</v>
      </c>
      <c r="AG83">
        <f>IF($D83*12&lt;90,IF($D83*12&lt;26.75,IF($D83*12&lt;9.5,IF($D83*12&lt;2.5,2,3),4),5),6)+IF(入力!$B$2="男",0,6)+IF(AND(入力!$B$2&lt;&gt;"男",$D83*12&gt;=150),1,0)</f>
        <v>11</v>
      </c>
      <c r="AH83">
        <f t="shared" si="12"/>
        <v>15.482630180805</v>
      </c>
      <c r="AI83">
        <f>IF(($D83*12)&lt;90,2,3)+IF(入力!$B$2="男",0,3)</f>
        <v>5</v>
      </c>
      <c r="AJ83">
        <f t="shared" si="13"/>
        <v>0.11036906908000003</v>
      </c>
      <c r="AK83">
        <f t="shared" si="10"/>
        <v>13.026574112134275</v>
      </c>
      <c r="AL83">
        <f t="shared" si="9"/>
        <v>13.67594053636555</v>
      </c>
      <c r="AM83">
        <f t="shared" si="9"/>
        <v>14.44684379466808</v>
      </c>
      <c r="AN83">
        <f t="shared" si="9"/>
        <v>15.482630180805</v>
      </c>
      <c r="AO83">
        <f t="shared" si="9"/>
        <v>16.786139066819182</v>
      </c>
      <c r="AP83">
        <f t="shared" si="9"/>
        <v>18.302268505394331</v>
      </c>
      <c r="AQ83">
        <f t="shared" si="9"/>
        <v>20.30516274160399</v>
      </c>
    </row>
    <row r="84" spans="1:43" x14ac:dyDescent="0.15">
      <c r="A84">
        <f t="shared" si="8"/>
        <v>6</v>
      </c>
      <c r="B84" s="2">
        <v>8</v>
      </c>
      <c r="D84" s="3">
        <f t="shared" si="14"/>
        <v>6.666666666666667</v>
      </c>
      <c r="F84">
        <f>IF(入力!$B$2="男",成長曲線_男!E82,成長曲線_女!E82)</f>
        <v>116.8</v>
      </c>
      <c r="G84">
        <f>IF(入力!$B$2="男",成長曲線_男!F82,成長曲線_女!F82)</f>
        <v>4.9000000000000004</v>
      </c>
      <c r="H84">
        <f>IF(入力!$B$2="男",成長曲線_男!G82,成長曲線_女!G82)</f>
        <v>126.6</v>
      </c>
      <c r="I84">
        <f>IF(入力!$B$2="男",成長曲線_男!H82,成長曲線_女!H82)</f>
        <v>121.7</v>
      </c>
      <c r="J84">
        <f>IF(入力!$B$2="男",成長曲線_男!I82,成長曲線_女!I82)</f>
        <v>111.89999999999999</v>
      </c>
      <c r="K84">
        <f>IF(入力!$B$2="男",成長曲線_男!J82,成長曲線_女!J82)</f>
        <v>107</v>
      </c>
      <c r="L84">
        <f>IF(入力!$B$2="男",成長曲線_男!K82,成長曲線_女!K82)</f>
        <v>104.55</v>
      </c>
      <c r="M84">
        <f>IF(入力!$B$2="男",成長曲線_男!L82,成長曲線_女!L82)</f>
        <v>102.1</v>
      </c>
      <c r="O84">
        <f>IF(入力!$B$2="男",成長曲線_男!N82,成長曲線_女!N82)</f>
        <v>21.7</v>
      </c>
      <c r="P84">
        <f>IF(入力!$B$2="男",成長曲線_男!O82,成長曲線_女!O82)</f>
        <v>3.66</v>
      </c>
      <c r="Q84">
        <f>IF(入力!$B$2="男",成長曲線_男!P82,成長曲線_女!P82)</f>
        <v>29.02</v>
      </c>
      <c r="R84">
        <f>IF(入力!$B$2="男",成長曲線_男!Q82,成長曲線_女!Q82)</f>
        <v>25.36</v>
      </c>
      <c r="S84">
        <f>IF(入力!$B$2="男",成長曲線_男!R82,成長曲線_女!R82)</f>
        <v>18.04</v>
      </c>
      <c r="T84">
        <f>IF(入力!$B$2="男",成長曲線_男!S82,成長曲線_女!S82)</f>
        <v>14.379999999999999</v>
      </c>
      <c r="AE84">
        <f>IF($D84*12&lt;150,IF($D84*12&lt;IF(入力!$B$2="男",78,69),2,3),4)+IF(入力!$B$2="男",0,4)</f>
        <v>7</v>
      </c>
      <c r="AF84">
        <f t="shared" si="11"/>
        <v>-2.0840697710000038</v>
      </c>
      <c r="AG84">
        <f>IF($D84*12&lt;90,IF($D84*12&lt;26.75,IF($D84*12&lt;9.5,IF($D84*12&lt;2.5,2,3),4),5),6)+IF(入力!$B$2="男",0,6)+IF(AND(入力!$B$2&lt;&gt;"男",$D84*12&gt;=150),1,0)</f>
        <v>11</v>
      </c>
      <c r="AH84">
        <f t="shared" si="12"/>
        <v>15.49755025</v>
      </c>
      <c r="AI84">
        <f>IF(($D84*12)&lt;90,2,3)+IF(入力!$B$2="男",0,3)</f>
        <v>5</v>
      </c>
      <c r="AJ84">
        <f t="shared" si="13"/>
        <v>0.11119599000000001</v>
      </c>
      <c r="AK84">
        <f t="shared" si="10"/>
        <v>13.027963999115709</v>
      </c>
      <c r="AL84">
        <f t="shared" si="9"/>
        <v>13.67959081275235</v>
      </c>
      <c r="AM84">
        <f t="shared" si="9"/>
        <v>14.454356001882596</v>
      </c>
      <c r="AN84">
        <f t="shared" si="9"/>
        <v>15.49755025</v>
      </c>
      <c r="AO84">
        <f t="shared" si="9"/>
        <v>16.814418341281257</v>
      </c>
      <c r="AP84">
        <f t="shared" si="9"/>
        <v>18.352477076686959</v>
      </c>
      <c r="AQ84">
        <f t="shared" si="9"/>
        <v>20.396399476124312</v>
      </c>
    </row>
    <row r="85" spans="1:43" x14ac:dyDescent="0.15">
      <c r="A85">
        <f t="shared" si="8"/>
        <v>6</v>
      </c>
      <c r="B85" s="2">
        <v>9</v>
      </c>
      <c r="D85" s="3">
        <f t="shared" si="14"/>
        <v>6.75</v>
      </c>
      <c r="F85">
        <f>IF(入力!$B$2="男",成長曲線_男!E83,成長曲線_女!E83)</f>
        <v>117.3</v>
      </c>
      <c r="G85">
        <f>IF(入力!$B$2="男",成長曲線_男!F83,成長曲線_女!F83)</f>
        <v>4.9000000000000004</v>
      </c>
      <c r="H85">
        <f>IF(入力!$B$2="男",成長曲線_男!G83,成長曲線_女!G83)</f>
        <v>127.1</v>
      </c>
      <c r="I85">
        <f>IF(入力!$B$2="男",成長曲線_男!H83,成長曲線_女!H83)</f>
        <v>122.2</v>
      </c>
      <c r="J85">
        <f>IF(入力!$B$2="男",成長曲線_男!I83,成長曲線_女!I83)</f>
        <v>112.39999999999999</v>
      </c>
      <c r="K85">
        <f>IF(入力!$B$2="男",成長曲線_男!J83,成長曲線_女!J83)</f>
        <v>107.5</v>
      </c>
      <c r="L85">
        <f>IF(入力!$B$2="男",成長曲線_男!K83,成長曲線_女!K83)</f>
        <v>105.05</v>
      </c>
      <c r="M85">
        <f>IF(入力!$B$2="男",成長曲線_男!L83,成長曲線_女!L83)</f>
        <v>102.6</v>
      </c>
      <c r="O85">
        <f>IF(入力!$B$2="男",成長曲線_男!N83,成長曲線_女!N83)</f>
        <v>21.9</v>
      </c>
      <c r="P85">
        <f>IF(入力!$B$2="男",成長曲線_男!O83,成長曲線_女!O83)</f>
        <v>3.72</v>
      </c>
      <c r="Q85">
        <f>IF(入力!$B$2="男",成長曲線_男!P83,成長曲線_女!P83)</f>
        <v>29.34</v>
      </c>
      <c r="R85">
        <f>IF(入力!$B$2="男",成長曲線_男!Q83,成長曲線_女!Q83)</f>
        <v>25.619999999999997</v>
      </c>
      <c r="S85">
        <f>IF(入力!$B$2="男",成長曲線_男!R83,成長曲線_女!R83)</f>
        <v>18.18</v>
      </c>
      <c r="T85">
        <f>IF(入力!$B$2="男",成長曲線_男!S83,成長曲線_女!S83)</f>
        <v>14.459999999999997</v>
      </c>
      <c r="AE85">
        <f>IF($D85*12&lt;150,IF($D85*12&lt;IF(入力!$B$2="男",78,69),2,3),4)+IF(入力!$B$2="男",0,4)</f>
        <v>7</v>
      </c>
      <c r="AF85">
        <f t="shared" si="11"/>
        <v>-2.0996582858800013</v>
      </c>
      <c r="AG85">
        <f>IF($D85*12&lt;90,IF($D85*12&lt;26.75,IF($D85*12&lt;9.5,IF($D85*12&lt;2.5,2,3),4),5),6)+IF(入力!$B$2="男",0,6)+IF(AND(入力!$B$2&lt;&gt;"男",$D85*12&gt;=150),1,0)</f>
        <v>11</v>
      </c>
      <c r="AH85">
        <f t="shared" si="12"/>
        <v>15.512940202795001</v>
      </c>
      <c r="AI85">
        <f>IF(($D85*12)&lt;90,2,3)+IF(入力!$B$2="男",0,3)</f>
        <v>5</v>
      </c>
      <c r="AJ85">
        <f t="shared" si="13"/>
        <v>0.11202025872000003</v>
      </c>
      <c r="AK85">
        <f t="shared" si="10"/>
        <v>13.029594278644556</v>
      </c>
      <c r="AL85">
        <f t="shared" si="9"/>
        <v>13.683579585086875</v>
      </c>
      <c r="AM85">
        <f t="shared" si="9"/>
        <v>14.462287004246857</v>
      </c>
      <c r="AN85">
        <f t="shared" si="9"/>
        <v>15.512940202795001</v>
      </c>
      <c r="AO85">
        <f t="shared" si="9"/>
        <v>16.843159452704164</v>
      </c>
      <c r="AP85">
        <f t="shared" si="9"/>
        <v>18.403095134877368</v>
      </c>
      <c r="AQ85">
        <f t="shared" si="9"/>
        <v>20.488095245781714</v>
      </c>
    </row>
    <row r="86" spans="1:43" x14ac:dyDescent="0.15">
      <c r="A86">
        <f t="shared" si="8"/>
        <v>6</v>
      </c>
      <c r="B86" s="2">
        <v>10</v>
      </c>
      <c r="D86" s="3">
        <f t="shared" si="14"/>
        <v>6.833333333333333</v>
      </c>
      <c r="F86">
        <f>IF(入力!$B$2="男",成長曲線_男!E84,成長曲線_女!E84)</f>
        <v>117.8</v>
      </c>
      <c r="G86">
        <f>IF(入力!$B$2="男",成長曲線_男!F84,成長曲線_女!F84)</f>
        <v>5</v>
      </c>
      <c r="H86">
        <f>IF(入力!$B$2="男",成長曲線_男!G84,成長曲線_女!G84)</f>
        <v>127.8</v>
      </c>
      <c r="I86">
        <f>IF(入力!$B$2="男",成長曲線_男!H84,成長曲線_女!H84)</f>
        <v>122.8</v>
      </c>
      <c r="J86">
        <f>IF(入力!$B$2="男",成長曲線_男!I84,成長曲線_女!I84)</f>
        <v>112.8</v>
      </c>
      <c r="K86">
        <f>IF(入力!$B$2="男",成長曲線_男!J84,成長曲線_女!J84)</f>
        <v>107.8</v>
      </c>
      <c r="L86">
        <f>IF(入力!$B$2="男",成長曲線_男!K84,成長曲線_女!K84)</f>
        <v>105.3</v>
      </c>
      <c r="M86">
        <f>IF(入力!$B$2="男",成長曲線_男!L84,成長曲線_女!L84)</f>
        <v>102.8</v>
      </c>
      <c r="O86">
        <f>IF(入力!$B$2="男",成長曲線_男!N84,成長曲線_女!N84)</f>
        <v>22.1</v>
      </c>
      <c r="P86">
        <f>IF(入力!$B$2="男",成長曲線_男!O84,成長曲線_女!O84)</f>
        <v>3.77</v>
      </c>
      <c r="Q86">
        <f>IF(入力!$B$2="男",成長曲線_男!P84,成長曲線_女!P84)</f>
        <v>29.64</v>
      </c>
      <c r="R86">
        <f>IF(入力!$B$2="男",成長曲線_男!Q84,成長曲線_女!Q84)</f>
        <v>25.87</v>
      </c>
      <c r="S86">
        <f>IF(入力!$B$2="男",成長曲線_男!R84,成長曲線_女!R84)</f>
        <v>18.330000000000002</v>
      </c>
      <c r="T86">
        <f>IF(入力!$B$2="男",成長曲線_男!S84,成長曲線_女!S84)</f>
        <v>14.560000000000002</v>
      </c>
      <c r="AE86">
        <f>IF($D86*12&lt;150,IF($D86*12&lt;IF(入力!$B$2="男",78,69),2,3),4)+IF(入力!$B$2="男",0,4)</f>
        <v>7</v>
      </c>
      <c r="AF86">
        <f t="shared" si="11"/>
        <v>-2.1136942632400002</v>
      </c>
      <c r="AG86">
        <f>IF($D86*12&lt;90,IF($D86*12&lt;26.75,IF($D86*12&lt;9.5,IF($D86*12&lt;2.5,2,3),4),5),6)+IF(入力!$B$2="男",0,6)+IF(AND(入力!$B$2&lt;&gt;"男",$D86*12&gt;=150),1,0)</f>
        <v>11</v>
      </c>
      <c r="AH86">
        <f t="shared" si="12"/>
        <v>15.52879715916</v>
      </c>
      <c r="AI86">
        <f>IF(($D86*12)&lt;90,2,3)+IF(入力!$B$2="男",0,3)</f>
        <v>5</v>
      </c>
      <c r="AJ86">
        <f t="shared" si="13"/>
        <v>0.11284126216000002</v>
      </c>
      <c r="AK86">
        <f t="shared" si="10"/>
        <v>13.031470055487967</v>
      </c>
      <c r="AL86">
        <f t="shared" si="9"/>
        <v>13.687910011622854</v>
      </c>
      <c r="AM86">
        <f t="shared" si="9"/>
        <v>14.470637871365922</v>
      </c>
      <c r="AN86">
        <f t="shared" si="9"/>
        <v>15.52879715916</v>
      </c>
      <c r="AO86">
        <f t="shared" si="9"/>
        <v>16.872348922084438</v>
      </c>
      <c r="AP86">
        <f t="shared" si="9"/>
        <v>18.4540816564819</v>
      </c>
      <c r="AQ86">
        <f t="shared" si="9"/>
        <v>20.580133071338409</v>
      </c>
    </row>
    <row r="87" spans="1:43" x14ac:dyDescent="0.15">
      <c r="A87">
        <f t="shared" si="8"/>
        <v>6</v>
      </c>
      <c r="B87" s="2">
        <v>11</v>
      </c>
      <c r="D87" s="3">
        <f t="shared" si="14"/>
        <v>6.916666666666667</v>
      </c>
      <c r="F87">
        <f>IF(入力!$B$2="男",成長曲線_男!E85,成長曲線_女!E85)</f>
        <v>118.3</v>
      </c>
      <c r="G87">
        <f>IF(入力!$B$2="男",成長曲線_男!F85,成長曲線_女!F85)</f>
        <v>5</v>
      </c>
      <c r="H87">
        <f>IF(入力!$B$2="男",成長曲線_男!G85,成長曲線_女!G85)</f>
        <v>128.30000000000001</v>
      </c>
      <c r="I87">
        <f>IF(入力!$B$2="男",成長曲線_男!H85,成長曲線_女!H85)</f>
        <v>123.3</v>
      </c>
      <c r="J87">
        <f>IF(入力!$B$2="男",成長曲線_男!I85,成長曲線_女!I85)</f>
        <v>113.3</v>
      </c>
      <c r="K87">
        <f>IF(入力!$B$2="男",成長曲線_男!J85,成長曲線_女!J85)</f>
        <v>108.3</v>
      </c>
      <c r="L87">
        <f>IF(入力!$B$2="男",成長曲線_男!K85,成長曲線_女!K85)</f>
        <v>105.8</v>
      </c>
      <c r="M87">
        <f>IF(入力!$B$2="男",成長曲線_男!L85,成長曲線_女!L85)</f>
        <v>103.3</v>
      </c>
      <c r="O87">
        <f>IF(入力!$B$2="男",成長曲線_男!N85,成長曲線_女!N85)</f>
        <v>22.3</v>
      </c>
      <c r="P87">
        <f>IF(入力!$B$2="男",成長曲線_男!O85,成長曲線_女!O85)</f>
        <v>3.83</v>
      </c>
      <c r="Q87">
        <f>IF(入力!$B$2="男",成長曲線_男!P85,成長曲線_女!P85)</f>
        <v>29.96</v>
      </c>
      <c r="R87">
        <f>IF(入力!$B$2="男",成長曲線_男!Q85,成長曲線_女!Q85)</f>
        <v>26.130000000000003</v>
      </c>
      <c r="S87">
        <f>IF(入力!$B$2="男",成長曲線_男!R85,成長曲線_女!R85)</f>
        <v>18.47</v>
      </c>
      <c r="T87">
        <f>IF(入力!$B$2="男",成長曲線_男!S85,成長曲線_女!S85)</f>
        <v>14.64</v>
      </c>
      <c r="AE87">
        <f>IF($D87*12&lt;150,IF($D87*12&lt;IF(入力!$B$2="男",78,69),2,3),4)+IF(入力!$B$2="男",0,4)</f>
        <v>7</v>
      </c>
      <c r="AF87">
        <f t="shared" si="11"/>
        <v>-2.1262127291600015</v>
      </c>
      <c r="AG87">
        <f>IF($D87*12&lt;90,IF($D87*12&lt;26.75,IF($D87*12&lt;9.5,IF($D87*12&lt;2.5,2,3),4),5),6)+IF(入力!$B$2="男",0,6)+IF(AND(入力!$B$2&lt;&gt;"男",$D87*12&gt;=150),1,0)</f>
        <v>11</v>
      </c>
      <c r="AH87">
        <f t="shared" si="12"/>
        <v>15.545118239064999</v>
      </c>
      <c r="AI87">
        <f>IF(($D87*12)&lt;90,2,3)+IF(入力!$B$2="男",0,3)</f>
        <v>5</v>
      </c>
      <c r="AJ87">
        <f t="shared" si="13"/>
        <v>0.11365838723999999</v>
      </c>
      <c r="AK87">
        <f t="shared" si="10"/>
        <v>13.033596362229197</v>
      </c>
      <c r="AL87">
        <f t="shared" si="9"/>
        <v>13.692585243627812</v>
      </c>
      <c r="AM87">
        <f t="shared" si="9"/>
        <v>14.479409689322956</v>
      </c>
      <c r="AN87">
        <f t="shared" si="9"/>
        <v>15.545118239064999</v>
      </c>
      <c r="AO87">
        <f t="shared" si="9"/>
        <v>16.901973177895378</v>
      </c>
      <c r="AP87">
        <f t="shared" si="9"/>
        <v>18.505395001496911</v>
      </c>
      <c r="AQ87">
        <f t="shared" si="9"/>
        <v>20.672391985907492</v>
      </c>
    </row>
    <row r="88" spans="1:43" x14ac:dyDescent="0.15">
      <c r="A88">
        <f t="shared" si="8"/>
        <v>7</v>
      </c>
      <c r="B88" s="2">
        <v>0</v>
      </c>
      <c r="D88" s="3">
        <f t="shared" si="14"/>
        <v>7</v>
      </c>
      <c r="F88">
        <f>IF(入力!$B$2="男",成長曲線_男!E86,成長曲線_女!E86)</f>
        <v>118.8</v>
      </c>
      <c r="G88">
        <f>IF(入力!$B$2="男",成長曲線_男!F86,成長曲線_女!F86)</f>
        <v>5</v>
      </c>
      <c r="H88">
        <f>IF(入力!$B$2="男",成長曲線_男!G86,成長曲線_女!G86)</f>
        <v>128.80000000000001</v>
      </c>
      <c r="I88">
        <f>IF(入力!$B$2="男",成長曲線_男!H86,成長曲線_女!H86)</f>
        <v>123.8</v>
      </c>
      <c r="J88">
        <f>IF(入力!$B$2="男",成長曲線_男!I86,成長曲線_女!I86)</f>
        <v>113.8</v>
      </c>
      <c r="K88">
        <f>IF(入力!$B$2="男",成長曲線_男!J86,成長曲線_女!J86)</f>
        <v>108.8</v>
      </c>
      <c r="L88">
        <f>IF(入力!$B$2="男",成長曲線_男!K86,成長曲線_女!K86)</f>
        <v>106.3</v>
      </c>
      <c r="M88">
        <f>IF(入力!$B$2="男",成長曲線_男!L86,成長曲線_女!L86)</f>
        <v>103.8</v>
      </c>
      <c r="O88">
        <f>IF(入力!$B$2="男",成長曲線_男!N86,成長曲線_女!N86)</f>
        <v>22.5</v>
      </c>
      <c r="P88">
        <f>IF(入力!$B$2="男",成長曲線_男!O86,成長曲線_女!O86)</f>
        <v>3.89</v>
      </c>
      <c r="Q88">
        <f>IF(入力!$B$2="男",成長曲線_男!P86,成長曲線_女!P86)</f>
        <v>30.28</v>
      </c>
      <c r="R88">
        <f>IF(入力!$B$2="男",成長曲線_男!Q86,成長曲線_女!Q86)</f>
        <v>26.39</v>
      </c>
      <c r="S88">
        <f>IF(入力!$B$2="男",成長曲線_男!R86,成長曲線_女!R86)</f>
        <v>18.61</v>
      </c>
      <c r="T88">
        <f>IF(入力!$B$2="男",成長曲線_男!S86,成長曲線_女!S86)</f>
        <v>14.719999999999999</v>
      </c>
      <c r="AE88">
        <f>IF($D88*12&lt;150,IF($D88*12&lt;IF(入力!$B$2="男",78,69),2,3),4)+IF(入力!$B$2="男",0,4)</f>
        <v>7</v>
      </c>
      <c r="AF88">
        <f t="shared" si="11"/>
        <v>-2.1372487097200006</v>
      </c>
      <c r="AG88">
        <f>IF($D88*12&lt;90,IF($D88*12&lt;26.75,IF($D88*12&lt;9.5,IF($D88*12&lt;2.5,2,3),4),5),6)+IF(入力!$B$2="男",0,6)+IF(AND(入力!$B$2&lt;&gt;"男",$D88*12&gt;=150),1,0)</f>
        <v>11</v>
      </c>
      <c r="AH88">
        <f t="shared" si="12"/>
        <v>15.56190056248</v>
      </c>
      <c r="AI88">
        <f>IF(($D88*12)&lt;90,2,3)+IF(入力!$B$2="男",0,3)</f>
        <v>5</v>
      </c>
      <c r="AJ88">
        <f t="shared" si="13"/>
        <v>0.11447102088000002</v>
      </c>
      <c r="AK88">
        <f t="shared" si="10"/>
        <v>13.035978185899298</v>
      </c>
      <c r="AL88">
        <f t="shared" si="9"/>
        <v>13.697608441302012</v>
      </c>
      <c r="AM88">
        <f t="shared" si="9"/>
        <v>14.488603567261922</v>
      </c>
      <c r="AN88">
        <f t="shared" si="9"/>
        <v>15.56190056248</v>
      </c>
      <c r="AO88">
        <f t="shared" si="9"/>
        <v>16.93201856891784</v>
      </c>
      <c r="AP88">
        <f t="shared" si="9"/>
        <v>18.556993012498488</v>
      </c>
      <c r="AQ88">
        <f t="shared" si="9"/>
        <v>20.764747447877543</v>
      </c>
    </row>
    <row r="89" spans="1:43" x14ac:dyDescent="0.15">
      <c r="A89">
        <f t="shared" si="8"/>
        <v>7</v>
      </c>
      <c r="B89" s="2">
        <v>1</v>
      </c>
      <c r="D89" s="3">
        <f t="shared" si="14"/>
        <v>7.083333333333333</v>
      </c>
      <c r="F89">
        <f>IF(入力!$B$2="男",成長曲線_男!E87,成長曲線_女!E87)</f>
        <v>119.2</v>
      </c>
      <c r="G89">
        <f>IF(入力!$B$2="男",成長曲線_男!F87,成長曲線_女!F87)</f>
        <v>5</v>
      </c>
      <c r="H89">
        <f>IF(入力!$B$2="男",成長曲線_男!G87,成長曲線_女!G87)</f>
        <v>129.19999999999999</v>
      </c>
      <c r="I89">
        <f>IF(入力!$B$2="男",成長曲線_男!H87,成長曲線_女!H87)</f>
        <v>124.2</v>
      </c>
      <c r="J89">
        <f>IF(入力!$B$2="男",成長曲線_男!I87,成長曲線_女!I87)</f>
        <v>114.2</v>
      </c>
      <c r="K89">
        <f>IF(入力!$B$2="男",成長曲線_男!J87,成長曲線_女!J87)</f>
        <v>109.2</v>
      </c>
      <c r="L89">
        <f>IF(入力!$B$2="男",成長曲線_男!K87,成長曲線_女!K87)</f>
        <v>106.7</v>
      </c>
      <c r="M89">
        <f>IF(入力!$B$2="男",成長曲線_男!L87,成長曲線_女!L87)</f>
        <v>104.2</v>
      </c>
      <c r="O89">
        <f>IF(入力!$B$2="男",成長曲線_男!N87,成長曲線_女!N87)</f>
        <v>22.8</v>
      </c>
      <c r="P89">
        <f>IF(入力!$B$2="男",成長曲線_男!O87,成長曲線_女!O87)</f>
        <v>3.94</v>
      </c>
      <c r="Q89">
        <f>IF(入力!$B$2="男",成長曲線_男!P87,成長曲線_女!P87)</f>
        <v>30.68</v>
      </c>
      <c r="R89">
        <f>IF(入力!$B$2="男",成長曲線_男!Q87,成長曲線_女!Q87)</f>
        <v>26.740000000000002</v>
      </c>
      <c r="S89">
        <f>IF(入力!$B$2="男",成長曲線_男!R87,成長曲線_女!R87)</f>
        <v>18.86</v>
      </c>
      <c r="T89">
        <f>IF(入力!$B$2="男",成長曲線_男!S87,成長曲線_女!S87)</f>
        <v>14.920000000000002</v>
      </c>
      <c r="AE89">
        <f>IF($D89*12&lt;150,IF($D89*12&lt;IF(入力!$B$2="男",78,69),2,3),4)+IF(入力!$B$2="男",0,4)</f>
        <v>7</v>
      </c>
      <c r="AF89">
        <f t="shared" si="11"/>
        <v>-2.1468372310000001</v>
      </c>
      <c r="AG89">
        <f>IF($D89*12&lt;90,IF($D89*12&lt;26.75,IF($D89*12&lt;9.5,IF($D89*12&lt;2.5,2,3),4),5),6)+IF(入力!$B$2="男",0,6)+IF(AND(入力!$B$2&lt;&gt;"男",$D89*12&gt;=150),1,0)</f>
        <v>11</v>
      </c>
      <c r="AH89">
        <f t="shared" si="12"/>
        <v>15.579141249375001</v>
      </c>
      <c r="AI89">
        <f>IF(($D89*12)&lt;90,2,3)+IF(入力!$B$2="男",0,3)</f>
        <v>5</v>
      </c>
      <c r="AJ89">
        <f t="shared" si="13"/>
        <v>0.11527855000000002</v>
      </c>
      <c r="AK89">
        <f t="shared" si="10"/>
        <v>13.038620494099654</v>
      </c>
      <c r="AL89">
        <f t="shared" si="9"/>
        <v>13.702982789524839</v>
      </c>
      <c r="AM89">
        <f t="shared" si="9"/>
        <v>14.498220643945253</v>
      </c>
      <c r="AN89">
        <f t="shared" si="9"/>
        <v>15.579141249375001</v>
      </c>
      <c r="AO89">
        <f t="shared" si="9"/>
        <v>16.962471377522125</v>
      </c>
      <c r="AP89">
        <f t="shared" si="9"/>
        <v>18.608833120010235</v>
      </c>
      <c r="AQ89">
        <f t="shared" si="9"/>
        <v>20.857071810666262</v>
      </c>
    </row>
    <row r="90" spans="1:43" x14ac:dyDescent="0.15">
      <c r="A90">
        <f t="shared" si="8"/>
        <v>7</v>
      </c>
      <c r="B90" s="2">
        <v>2</v>
      </c>
      <c r="D90" s="3">
        <f t="shared" si="14"/>
        <v>7.166666666666667</v>
      </c>
      <c r="F90">
        <f>IF(入力!$B$2="男",成長曲線_男!E88,成長曲線_女!E88)</f>
        <v>119.7</v>
      </c>
      <c r="G90">
        <f>IF(入力!$B$2="男",成長曲線_男!F88,成長曲線_女!F88)</f>
        <v>5</v>
      </c>
      <c r="H90">
        <f>IF(入力!$B$2="男",成長曲線_男!G88,成長曲線_女!G88)</f>
        <v>129.69999999999999</v>
      </c>
      <c r="I90">
        <f>IF(入力!$B$2="男",成長曲線_男!H88,成長曲線_女!H88)</f>
        <v>124.7</v>
      </c>
      <c r="J90">
        <f>IF(入力!$B$2="男",成長曲線_男!I88,成長曲線_女!I88)</f>
        <v>114.7</v>
      </c>
      <c r="K90">
        <f>IF(入力!$B$2="男",成長曲線_男!J88,成長曲線_女!J88)</f>
        <v>109.7</v>
      </c>
      <c r="L90">
        <f>IF(入力!$B$2="男",成長曲線_男!K88,成長曲線_女!K88)</f>
        <v>107.2</v>
      </c>
      <c r="M90">
        <f>IF(入力!$B$2="男",成長曲線_男!L88,成長曲線_女!L88)</f>
        <v>104.7</v>
      </c>
      <c r="O90">
        <f>IF(入力!$B$2="男",成長曲線_男!N88,成長曲線_女!N88)</f>
        <v>23</v>
      </c>
      <c r="P90">
        <f>IF(入力!$B$2="男",成長曲線_男!O88,成長曲線_女!O88)</f>
        <v>4</v>
      </c>
      <c r="Q90">
        <f>IF(入力!$B$2="男",成長曲線_男!P88,成長曲線_女!P88)</f>
        <v>31</v>
      </c>
      <c r="R90">
        <f>IF(入力!$B$2="男",成長曲線_男!Q88,成長曲線_女!Q88)</f>
        <v>27</v>
      </c>
      <c r="S90">
        <f>IF(入力!$B$2="男",成長曲線_男!R88,成長曲線_女!R88)</f>
        <v>19</v>
      </c>
      <c r="T90">
        <f>IF(入力!$B$2="男",成長曲線_男!S88,成長曲線_女!S88)</f>
        <v>15</v>
      </c>
      <c r="AE90">
        <f>IF($D90*12&lt;150,IF($D90*12&lt;IF(入力!$B$2="男",78,69),2,3),4)+IF(入力!$B$2="男",0,4)</f>
        <v>7</v>
      </c>
      <c r="AF90">
        <f t="shared" si="11"/>
        <v>-2.1550133190800027</v>
      </c>
      <c r="AG90">
        <f>IF($D90*12&lt;90,IF($D90*12&lt;26.75,IF($D90*12&lt;9.5,IF($D90*12&lt;2.5,2,3),4),5),6)+IF(入力!$B$2="男",0,6)+IF(AND(入力!$B$2&lt;&gt;"男",$D90*12&gt;=150),1,0)</f>
        <v>11</v>
      </c>
      <c r="AH90">
        <f t="shared" si="12"/>
        <v>15.59683741972</v>
      </c>
      <c r="AI90">
        <f>IF(($D90*12)&lt;90,2,3)+IF(入力!$B$2="男",0,3)</f>
        <v>5</v>
      </c>
      <c r="AJ90">
        <f t="shared" si="13"/>
        <v>0.11608036152000001</v>
      </c>
      <c r="AK90">
        <f t="shared" si="10"/>
        <v>13.041528260680614</v>
      </c>
      <c r="AL90">
        <f t="shared" si="9"/>
        <v>13.708711513449243</v>
      </c>
      <c r="AM90">
        <f t="shared" si="9"/>
        <v>14.508262094286927</v>
      </c>
      <c r="AN90">
        <f t="shared" si="9"/>
        <v>15.59683741972</v>
      </c>
      <c r="AO90">
        <f t="shared" si="9"/>
        <v>16.993317833341191</v>
      </c>
      <c r="AP90">
        <f t="shared" si="9"/>
        <v>18.660872453553313</v>
      </c>
      <c r="AQ90">
        <f t="shared" si="9"/>
        <v>20.949234847530235</v>
      </c>
    </row>
    <row r="91" spans="1:43" x14ac:dyDescent="0.15">
      <c r="A91">
        <f t="shared" si="8"/>
        <v>7</v>
      </c>
      <c r="B91" s="2">
        <v>3</v>
      </c>
      <c r="D91" s="3">
        <f t="shared" si="14"/>
        <v>7.25</v>
      </c>
      <c r="F91">
        <f>IF(入力!$B$2="男",成長曲線_男!E89,成長曲線_女!E89)</f>
        <v>120.2</v>
      </c>
      <c r="G91">
        <f>IF(入力!$B$2="男",成長曲線_男!F89,成長曲線_女!F89)</f>
        <v>5.0999999999999996</v>
      </c>
      <c r="H91">
        <f>IF(入力!$B$2="男",成長曲線_男!G89,成長曲線_女!G89)</f>
        <v>130.4</v>
      </c>
      <c r="I91">
        <f>IF(入力!$B$2="男",成長曲線_男!H89,成長曲線_女!H89)</f>
        <v>125.3</v>
      </c>
      <c r="J91">
        <f>IF(入力!$B$2="男",成長曲線_男!I89,成長曲線_女!I89)</f>
        <v>115.10000000000001</v>
      </c>
      <c r="K91">
        <f>IF(入力!$B$2="男",成長曲線_男!J89,成長曲線_女!J89)</f>
        <v>110</v>
      </c>
      <c r="L91">
        <f>IF(入力!$B$2="男",成長曲線_男!K89,成長曲線_女!K89)</f>
        <v>107.45</v>
      </c>
      <c r="M91">
        <f>IF(入力!$B$2="男",成長曲線_男!L89,成長曲線_女!L89)</f>
        <v>104.9</v>
      </c>
      <c r="O91">
        <f>IF(入力!$B$2="男",成長曲線_男!N89,成長曲線_女!N89)</f>
        <v>23.2</v>
      </c>
      <c r="P91">
        <f>IF(入力!$B$2="男",成長曲線_男!O89,成長曲線_女!O89)</f>
        <v>4.05</v>
      </c>
      <c r="Q91">
        <f>IF(入力!$B$2="男",成長曲線_男!P89,成長曲線_女!P89)</f>
        <v>31.299999999999997</v>
      </c>
      <c r="R91">
        <f>IF(入力!$B$2="男",成長曲線_男!Q89,成長曲線_女!Q89)</f>
        <v>27.25</v>
      </c>
      <c r="S91">
        <f>IF(入力!$B$2="男",成長曲線_男!R89,成長曲線_女!R89)</f>
        <v>19.149999999999999</v>
      </c>
      <c r="T91">
        <f>IF(入力!$B$2="男",成長曲線_男!S89,成長曲線_女!S89)</f>
        <v>15.1</v>
      </c>
      <c r="AE91">
        <f>IF($D91*12&lt;150,IF($D91*12&lt;IF(入力!$B$2="男",78,69),2,3),4)+IF(入力!$B$2="男",0,4)</f>
        <v>7</v>
      </c>
      <c r="AF91">
        <f t="shared" si="11"/>
        <v>-2.1618120000400021</v>
      </c>
      <c r="AG91">
        <f>IF($D91*12&lt;90,IF($D91*12&lt;26.75,IF($D91*12&lt;9.5,IF($D91*12&lt;2.5,2,3),4),5),6)+IF(入力!$B$2="男",0,6)+IF(AND(入力!$B$2&lt;&gt;"男",$D91*12&gt;=150),1,0)</f>
        <v>11</v>
      </c>
      <c r="AH91">
        <f t="shared" si="12"/>
        <v>15.614986193485</v>
      </c>
      <c r="AI91">
        <f>IF(($D91*12)&lt;90,2,3)+IF(入力!$B$2="男",0,3)</f>
        <v>5</v>
      </c>
      <c r="AJ91">
        <f t="shared" si="13"/>
        <v>0.11687584236000002</v>
      </c>
      <c r="AK91">
        <f t="shared" si="10"/>
        <v>13.04470649103615</v>
      </c>
      <c r="AL91">
        <f t="shared" si="9"/>
        <v>13.714797893963008</v>
      </c>
      <c r="AM91">
        <f t="shared" si="9"/>
        <v>14.518729135860724</v>
      </c>
      <c r="AN91">
        <f t="shared" si="9"/>
        <v>15.614986193485</v>
      </c>
      <c r="AO91">
        <f t="shared" si="9"/>
        <v>17.024544127270591</v>
      </c>
      <c r="AP91">
        <f t="shared" si="9"/>
        <v>18.713067957699735</v>
      </c>
      <c r="AQ91">
        <f t="shared" si="9"/>
        <v>21.041104328539049</v>
      </c>
    </row>
    <row r="92" spans="1:43" x14ac:dyDescent="0.15">
      <c r="A92">
        <f t="shared" si="8"/>
        <v>7</v>
      </c>
      <c r="B92" s="2">
        <v>4</v>
      </c>
      <c r="D92" s="3">
        <f t="shared" si="14"/>
        <v>7.333333333333333</v>
      </c>
      <c r="F92">
        <f>IF(入力!$B$2="男",成長曲線_男!E90,成長曲線_女!E90)</f>
        <v>120.7</v>
      </c>
      <c r="G92">
        <f>IF(入力!$B$2="男",成長曲線_男!F90,成長曲線_女!F90)</f>
        <v>5.0999999999999996</v>
      </c>
      <c r="H92">
        <f>IF(入力!$B$2="男",成長曲線_男!G90,成長曲線_女!G90)</f>
        <v>130.9</v>
      </c>
      <c r="I92">
        <f>IF(入力!$B$2="男",成長曲線_男!H90,成長曲線_女!H90)</f>
        <v>125.8</v>
      </c>
      <c r="J92">
        <f>IF(入力!$B$2="男",成長曲線_男!I90,成長曲線_女!I90)</f>
        <v>115.60000000000001</v>
      </c>
      <c r="K92">
        <f>IF(入力!$B$2="男",成長曲線_男!J90,成長曲線_女!J90)</f>
        <v>110.5</v>
      </c>
      <c r="L92">
        <f>IF(入力!$B$2="男",成長曲線_男!K90,成長曲線_女!K90)</f>
        <v>107.95</v>
      </c>
      <c r="M92">
        <f>IF(入力!$B$2="男",成長曲線_男!L90,成長曲線_女!L90)</f>
        <v>105.4</v>
      </c>
      <c r="O92">
        <f>IF(入力!$B$2="男",成長曲線_男!N90,成長曲線_女!N90)</f>
        <v>23.4</v>
      </c>
      <c r="P92">
        <f>IF(入力!$B$2="男",成長曲線_男!O90,成長曲線_女!O90)</f>
        <v>4.1100000000000003</v>
      </c>
      <c r="Q92">
        <f>IF(入力!$B$2="男",成長曲線_男!P90,成長曲線_女!P90)</f>
        <v>31.619999999999997</v>
      </c>
      <c r="R92">
        <f>IF(入力!$B$2="男",成長曲線_男!Q90,成長曲線_女!Q90)</f>
        <v>27.509999999999998</v>
      </c>
      <c r="S92">
        <f>IF(入力!$B$2="男",成長曲線_男!R90,成長曲線_女!R90)</f>
        <v>19.29</v>
      </c>
      <c r="T92">
        <f>IF(入力!$B$2="男",成長曲線_男!S90,成長曲線_女!S90)</f>
        <v>15.179999999999998</v>
      </c>
      <c r="AE92">
        <f>IF($D92*12&lt;150,IF($D92*12&lt;IF(入力!$B$2="男",78,69),2,3),4)+IF(入力!$B$2="男",0,4)</f>
        <v>7</v>
      </c>
      <c r="AF92">
        <f t="shared" si="11"/>
        <v>-2.1672682999600026</v>
      </c>
      <c r="AG92">
        <f>IF($D92*12&lt;90,IF($D92*12&lt;26.75,IF($D92*12&lt;9.5,IF($D92*12&lt;2.5,2,3),4),5),6)+IF(入力!$B$2="男",0,6)+IF(AND(入力!$B$2&lt;&gt;"男",$D92*12&gt;=150),1,0)</f>
        <v>11</v>
      </c>
      <c r="AH92">
        <f t="shared" si="12"/>
        <v>15.633584690639999</v>
      </c>
      <c r="AI92">
        <f>IF(($D92*12)&lt;90,2,3)+IF(入力!$B$2="男",0,3)</f>
        <v>5</v>
      </c>
      <c r="AJ92">
        <f t="shared" si="13"/>
        <v>0.11766437944000002</v>
      </c>
      <c r="AK92">
        <f t="shared" si="10"/>
        <v>13.048160247069365</v>
      </c>
      <c r="AL92">
        <f t="shared" si="9"/>
        <v>13.721245283033282</v>
      </c>
      <c r="AM92">
        <f t="shared" si="9"/>
        <v>14.529623035383031</v>
      </c>
      <c r="AN92">
        <f t="shared" si="9"/>
        <v>15.633584690639999</v>
      </c>
      <c r="AO92">
        <f t="shared" si="9"/>
        <v>17.056136425726265</v>
      </c>
      <c r="AP92">
        <f t="shared" si="9"/>
        <v>18.765376512361435</v>
      </c>
      <c r="AQ92">
        <f t="shared" si="9"/>
        <v>21.132546645664601</v>
      </c>
    </row>
    <row r="93" spans="1:43" x14ac:dyDescent="0.15">
      <c r="A93">
        <f t="shared" si="8"/>
        <v>7</v>
      </c>
      <c r="B93" s="2">
        <v>5</v>
      </c>
      <c r="D93" s="3">
        <f t="shared" si="14"/>
        <v>7.416666666666667</v>
      </c>
      <c r="F93">
        <f>IF(入力!$B$2="男",成長曲線_男!E91,成長曲線_女!E91)</f>
        <v>121.2</v>
      </c>
      <c r="G93">
        <f>IF(入力!$B$2="男",成長曲線_男!F91,成長曲線_女!F91)</f>
        <v>5.0999999999999996</v>
      </c>
      <c r="H93">
        <f>IF(入力!$B$2="男",成長曲線_男!G91,成長曲線_女!G91)</f>
        <v>131.4</v>
      </c>
      <c r="I93">
        <f>IF(入力!$B$2="男",成長曲線_男!H91,成長曲線_女!H91)</f>
        <v>126.3</v>
      </c>
      <c r="J93">
        <f>IF(入力!$B$2="男",成長曲線_男!I91,成長曲線_女!I91)</f>
        <v>116.10000000000001</v>
      </c>
      <c r="K93">
        <f>IF(入力!$B$2="男",成長曲線_男!J91,成長曲線_女!J91)</f>
        <v>111</v>
      </c>
      <c r="L93">
        <f>IF(入力!$B$2="男",成長曲線_男!K91,成長曲線_女!K91)</f>
        <v>108.45</v>
      </c>
      <c r="M93">
        <f>IF(入力!$B$2="男",成長曲線_男!L91,成長曲線_女!L91)</f>
        <v>105.9</v>
      </c>
      <c r="O93">
        <f>IF(入力!$B$2="男",成長曲線_男!N91,成長曲線_女!N91)</f>
        <v>23.6</v>
      </c>
      <c r="P93">
        <f>IF(入力!$B$2="男",成長曲線_男!O91,成長曲線_女!O91)</f>
        <v>4.16</v>
      </c>
      <c r="Q93">
        <f>IF(入力!$B$2="男",成長曲線_男!P91,成長曲線_女!P91)</f>
        <v>31.92</v>
      </c>
      <c r="R93">
        <f>IF(入力!$B$2="男",成長曲線_男!Q91,成長曲線_女!Q91)</f>
        <v>27.76</v>
      </c>
      <c r="S93">
        <f>IF(入力!$B$2="男",成長曲線_男!R91,成長曲線_女!R91)</f>
        <v>19.440000000000001</v>
      </c>
      <c r="T93">
        <f>IF(入力!$B$2="男",成長曲線_男!S91,成長曲線_女!S91)</f>
        <v>15.280000000000001</v>
      </c>
      <c r="AE93">
        <f>IF($D93*12&lt;150,IF($D93*12&lt;IF(入力!$B$2="男",78,69),2,3),4)+IF(入力!$B$2="男",0,4)</f>
        <v>7</v>
      </c>
      <c r="AF93">
        <f t="shared" si="11"/>
        <v>-2.1714172449200033</v>
      </c>
      <c r="AG93">
        <f>IF($D93*12&lt;90,IF($D93*12&lt;26.75,IF($D93*12&lt;9.5,IF($D93*12&lt;2.5,2,3),4),5),6)+IF(入力!$B$2="男",0,6)+IF(AND(入力!$B$2&lt;&gt;"男",$D93*12&gt;=150),1,0)</f>
        <v>11</v>
      </c>
      <c r="AH93">
        <f t="shared" si="12"/>
        <v>15.652630031154999</v>
      </c>
      <c r="AI93">
        <f>IF(($D93*12)&lt;90,2,3)+IF(入力!$B$2="男",0,3)</f>
        <v>5</v>
      </c>
      <c r="AJ93">
        <f t="shared" si="13"/>
        <v>0.11844535968000001</v>
      </c>
      <c r="AK93">
        <f t="shared" si="10"/>
        <v>13.051894671878813</v>
      </c>
      <c r="AL93">
        <f t="shared" si="9"/>
        <v>13.728057118949177</v>
      </c>
      <c r="AM93">
        <f t="shared" si="9"/>
        <v>14.540945115168933</v>
      </c>
      <c r="AN93">
        <f t="shared" si="9"/>
        <v>15.652630031154999</v>
      </c>
      <c r="AO93">
        <f t="shared" si="9"/>
        <v>17.088080885087631</v>
      </c>
      <c r="AP93">
        <f t="shared" si="9"/>
        <v>18.81775505646581</v>
      </c>
      <c r="AQ93">
        <f t="shared" si="9"/>
        <v>21.223427480770784</v>
      </c>
    </row>
    <row r="94" spans="1:43" x14ac:dyDescent="0.15">
      <c r="A94">
        <f t="shared" si="8"/>
        <v>7</v>
      </c>
      <c r="B94" s="2">
        <v>6</v>
      </c>
      <c r="D94" s="3">
        <f t="shared" si="14"/>
        <v>7.5</v>
      </c>
      <c r="F94">
        <f>IF(入力!$B$2="男",成長曲線_男!E92,成長曲線_女!E92)</f>
        <v>121.7</v>
      </c>
      <c r="G94">
        <f>IF(入力!$B$2="男",成長曲線_男!F92,成長曲線_女!F92)</f>
        <v>5.0999999999999996</v>
      </c>
      <c r="H94">
        <f>IF(入力!$B$2="男",成長曲線_男!G92,成長曲線_女!G92)</f>
        <v>131.9</v>
      </c>
      <c r="I94">
        <f>IF(入力!$B$2="男",成長曲線_男!H92,成長曲線_女!H92)</f>
        <v>126.8</v>
      </c>
      <c r="J94">
        <f>IF(入力!$B$2="男",成長曲線_男!I92,成長曲線_女!I92)</f>
        <v>116.60000000000001</v>
      </c>
      <c r="K94">
        <f>IF(入力!$B$2="男",成長曲線_男!J92,成長曲線_女!J92)</f>
        <v>111.5</v>
      </c>
      <c r="L94">
        <f>IF(入力!$B$2="男",成長曲線_男!K92,成長曲線_女!K92)</f>
        <v>108.95</v>
      </c>
      <c r="M94">
        <f>IF(入力!$B$2="男",成長曲線_男!L92,成長曲線_女!L92)</f>
        <v>106.4</v>
      </c>
      <c r="O94">
        <f>IF(入力!$B$2="男",成長曲線_男!N92,成長曲線_女!N92)</f>
        <v>23.8</v>
      </c>
      <c r="P94">
        <f>IF(入力!$B$2="男",成長曲線_男!O92,成長曲線_女!O92)</f>
        <v>4.22</v>
      </c>
      <c r="Q94">
        <f>IF(入力!$B$2="男",成長曲線_男!P92,成長曲線_女!P92)</f>
        <v>32.24</v>
      </c>
      <c r="R94">
        <f>IF(入力!$B$2="男",成長曲線_男!Q92,成長曲線_女!Q92)</f>
        <v>28.02</v>
      </c>
      <c r="S94">
        <f>IF(入力!$B$2="男",成長曲線_男!R92,成長曲線_女!R92)</f>
        <v>19.580000000000002</v>
      </c>
      <c r="T94">
        <f>IF(入力!$B$2="男",成長曲線_男!S92,成長曲線_女!S92)</f>
        <v>15.360000000000001</v>
      </c>
      <c r="AE94">
        <f>IF($D94*12&lt;150,IF($D94*12&lt;IF(入力!$B$2="男",78,69),2,3),4)+IF(入力!$B$2="男",0,4)</f>
        <v>7</v>
      </c>
      <c r="AF94">
        <f t="shared" si="11"/>
        <v>-2.1742938609999998</v>
      </c>
      <c r="AG94">
        <f>IF($D94*12&lt;90,IF($D94*12&lt;26.75,IF($D94*12&lt;9.5,IF($D94*12&lt;2.5,2,3),4),5),6)+IF(入力!$B$2="男",0,6)+IF(AND(入力!$B$2&lt;&gt;"男",$D94*12&gt;=150),1,0)</f>
        <v>12</v>
      </c>
      <c r="AH94">
        <f t="shared" si="12"/>
        <v>15.67211635</v>
      </c>
      <c r="AI94">
        <f>IF(($D94*12)&lt;90,2,3)+IF(入力!$B$2="男",0,3)</f>
        <v>6</v>
      </c>
      <c r="AJ94">
        <f t="shared" si="13"/>
        <v>0.11921826089999996</v>
      </c>
      <c r="AK94">
        <f t="shared" si="10"/>
        <v>13.055911026972529</v>
      </c>
      <c r="AL94">
        <f t="shared" si="9"/>
        <v>13.73523312431745</v>
      </c>
      <c r="AM94">
        <f t="shared" si="9"/>
        <v>14.552693228311911</v>
      </c>
      <c r="AN94">
        <f t="shared" si="9"/>
        <v>15.67211635</v>
      </c>
      <c r="AO94">
        <f t="shared" si="9"/>
        <v>17.120361677484915</v>
      </c>
      <c r="AP94">
        <f t="shared" si="9"/>
        <v>18.870160411734595</v>
      </c>
      <c r="AQ94">
        <f t="shared" si="9"/>
        <v>21.313615561041292</v>
      </c>
    </row>
    <row r="95" spans="1:43" x14ac:dyDescent="0.15">
      <c r="A95">
        <f t="shared" si="8"/>
        <v>7</v>
      </c>
      <c r="B95" s="2">
        <v>7</v>
      </c>
      <c r="D95" s="3">
        <f t="shared" si="14"/>
        <v>7.583333333333333</v>
      </c>
      <c r="F95">
        <f>IF(入力!$B$2="男",成長曲線_男!E93,成長曲線_女!E93)</f>
        <v>122.2</v>
      </c>
      <c r="G95">
        <f>IF(入力!$B$2="男",成長曲線_男!F93,成長曲線_女!F93)</f>
        <v>5.2</v>
      </c>
      <c r="H95">
        <f>IF(入力!$B$2="男",成長曲線_男!G93,成長曲線_女!G93)</f>
        <v>132.6</v>
      </c>
      <c r="I95">
        <f>IF(入力!$B$2="男",成長曲線_男!H93,成長曲線_女!H93)</f>
        <v>127.4</v>
      </c>
      <c r="J95">
        <f>IF(入力!$B$2="男",成長曲線_男!I93,成長曲線_女!I93)</f>
        <v>117</v>
      </c>
      <c r="K95">
        <f>IF(入力!$B$2="男",成長曲線_男!J93,成長曲線_女!J93)</f>
        <v>111.8</v>
      </c>
      <c r="L95">
        <f>IF(入力!$B$2="男",成長曲線_男!K93,成長曲線_女!K93)</f>
        <v>109.2</v>
      </c>
      <c r="M95">
        <f>IF(入力!$B$2="男",成長曲線_男!L93,成長曲線_女!L93)</f>
        <v>106.6</v>
      </c>
      <c r="O95">
        <f>IF(入力!$B$2="男",成長曲線_男!N93,成長曲線_女!N93)</f>
        <v>24.1</v>
      </c>
      <c r="P95">
        <f>IF(入力!$B$2="男",成長曲線_男!O93,成長曲線_女!O93)</f>
        <v>4.3099999999999996</v>
      </c>
      <c r="Q95">
        <f>IF(入力!$B$2="男",成長曲線_男!P93,成長曲線_女!P93)</f>
        <v>32.72</v>
      </c>
      <c r="R95">
        <f>IF(入力!$B$2="男",成長曲線_男!Q93,成長曲線_女!Q93)</f>
        <v>28.41</v>
      </c>
      <c r="S95">
        <f>IF(入力!$B$2="男",成長曲線_男!R93,成長曲線_女!R93)</f>
        <v>19.790000000000003</v>
      </c>
      <c r="T95">
        <f>IF(入力!$B$2="男",成長曲線_男!S93,成長曲線_女!S93)</f>
        <v>15.480000000000002</v>
      </c>
      <c r="AE95">
        <f>IF($D95*12&lt;150,IF($D95*12&lt;IF(入力!$B$2="男",78,69),2,3),4)+IF(入力!$B$2="男",0,4)</f>
        <v>7</v>
      </c>
      <c r="AF95">
        <f t="shared" si="11"/>
        <v>-2.1759331742800017</v>
      </c>
      <c r="AG95">
        <f>IF($D95*12&lt;90,IF($D95*12&lt;26.75,IF($D95*12&lt;9.5,IF($D95*12&lt;2.5,2,3),4),5),6)+IF(入力!$B$2="男",0,6)+IF(AND(入力!$B$2&lt;&gt;"男",$D95*12&gt;=150),1,0)</f>
        <v>12</v>
      </c>
      <c r="AH95">
        <f t="shared" si="12"/>
        <v>15.692544193429999</v>
      </c>
      <c r="AI95">
        <f>IF(($D95*12)&lt;90,2,3)+IF(入力!$B$2="男",0,3)</f>
        <v>6</v>
      </c>
      <c r="AJ95">
        <f t="shared" si="13"/>
        <v>0.11997814405009996</v>
      </c>
      <c r="AK95">
        <f t="shared" si="10"/>
        <v>13.060704970207945</v>
      </c>
      <c r="AL95">
        <f t="shared" si="9"/>
        <v>13.743274947119659</v>
      </c>
      <c r="AM95">
        <f t="shared" si="9"/>
        <v>14.565372232464375</v>
      </c>
      <c r="AN95">
        <f t="shared" si="9"/>
        <v>15.692544193429999</v>
      </c>
      <c r="AO95">
        <f t="shared" si="9"/>
        <v>17.153454537121075</v>
      </c>
      <c r="AP95">
        <f t="shared" si="9"/>
        <v>18.922999471674256</v>
      </c>
      <c r="AQ95">
        <f t="shared" si="9"/>
        <v>21.403321992474869</v>
      </c>
    </row>
    <row r="96" spans="1:43" x14ac:dyDescent="0.15">
      <c r="A96">
        <f t="shared" si="8"/>
        <v>7</v>
      </c>
      <c r="B96" s="2">
        <v>8</v>
      </c>
      <c r="D96" s="3">
        <f t="shared" si="14"/>
        <v>7.666666666666667</v>
      </c>
      <c r="F96">
        <f>IF(入力!$B$2="男",成長曲線_男!E94,成長曲線_女!E94)</f>
        <v>122.7</v>
      </c>
      <c r="G96">
        <f>IF(入力!$B$2="男",成長曲線_男!F94,成長曲線_女!F94)</f>
        <v>5.2</v>
      </c>
      <c r="H96">
        <f>IF(入力!$B$2="男",成長曲線_男!G94,成長曲線_女!G94)</f>
        <v>133.1</v>
      </c>
      <c r="I96">
        <f>IF(入力!$B$2="男",成長曲線_男!H94,成長曲線_女!H94)</f>
        <v>127.9</v>
      </c>
      <c r="J96">
        <f>IF(入力!$B$2="男",成長曲線_男!I94,成長曲線_女!I94)</f>
        <v>117.5</v>
      </c>
      <c r="K96">
        <f>IF(入力!$B$2="男",成長曲線_男!J94,成長曲線_女!J94)</f>
        <v>112.3</v>
      </c>
      <c r="L96">
        <f>IF(入力!$B$2="男",成長曲線_男!K94,成長曲線_女!K94)</f>
        <v>109.7</v>
      </c>
      <c r="M96">
        <f>IF(入力!$B$2="男",成長曲線_男!L94,成長曲線_女!L94)</f>
        <v>107.1</v>
      </c>
      <c r="O96">
        <f>IF(入力!$B$2="男",成長曲線_男!N94,成長曲線_女!N94)</f>
        <v>24.3</v>
      </c>
      <c r="P96">
        <f>IF(入力!$B$2="男",成長曲線_男!O94,成長曲線_女!O94)</f>
        <v>4.3899999999999997</v>
      </c>
      <c r="Q96">
        <f>IF(入力!$B$2="男",成長曲線_男!P94,成長曲線_女!P94)</f>
        <v>33.08</v>
      </c>
      <c r="R96">
        <f>IF(入力!$B$2="男",成長曲線_男!Q94,成長曲線_女!Q94)</f>
        <v>28.69</v>
      </c>
      <c r="S96">
        <f>IF(入力!$B$2="男",成長曲線_男!R94,成長曲線_女!R94)</f>
        <v>19.91</v>
      </c>
      <c r="T96">
        <f>IF(入力!$B$2="男",成長曲線_男!S94,成長曲線_女!S94)</f>
        <v>15.520000000000001</v>
      </c>
      <c r="AE96">
        <f>IF($D96*12&lt;150,IF($D96*12&lt;IF(入力!$B$2="男",78,69),2,3),4)+IF(入力!$B$2="男",0,4)</f>
        <v>7</v>
      </c>
      <c r="AF96">
        <f t="shared" si="11"/>
        <v>-2.1763702108400009</v>
      </c>
      <c r="AG96">
        <f>IF($D96*12&lt;90,IF($D96*12&lt;26.75,IF($D96*12&lt;9.5,IF($D96*12&lt;2.5,2,3),4),5),6)+IF(入力!$B$2="男",0,6)+IF(AND(入力!$B$2&lt;&gt;"男",$D96*12&gt;=150),1,0)</f>
        <v>12</v>
      </c>
      <c r="AH96">
        <f t="shared" si="12"/>
        <v>15.714395065040001</v>
      </c>
      <c r="AI96">
        <f>IF(($D96*12)&lt;90,2,3)+IF(入力!$B$2="男",0,3)</f>
        <v>6</v>
      </c>
      <c r="AJ96">
        <f t="shared" si="13"/>
        <v>0.12072083917279997</v>
      </c>
      <c r="AK96">
        <f t="shared" si="10"/>
        <v>13.066741770899633</v>
      </c>
      <c r="AL96">
        <f t="shared" si="9"/>
        <v>13.752656075275286</v>
      </c>
      <c r="AM96">
        <f t="shared" si="9"/>
        <v>14.579462161265166</v>
      </c>
      <c r="AN96">
        <f t="shared" si="9"/>
        <v>15.714395065040001</v>
      </c>
      <c r="AO96">
        <f t="shared" si="9"/>
        <v>17.187825781406676</v>
      </c>
      <c r="AP96">
        <f t="shared" ref="AL96:AQ139" si="15">$AH96*(1+$AF96*$AJ96*AP$3)^(1/$AF96)</f>
        <v>18.976684477794809</v>
      </c>
      <c r="AQ96">
        <f t="shared" si="15"/>
        <v>21.492788185726628</v>
      </c>
    </row>
    <row r="97" spans="1:43" x14ac:dyDescent="0.15">
      <c r="A97">
        <f t="shared" si="8"/>
        <v>7</v>
      </c>
      <c r="B97" s="2">
        <v>9</v>
      </c>
      <c r="D97" s="3">
        <f t="shared" si="14"/>
        <v>7.75</v>
      </c>
      <c r="F97">
        <f>IF(入力!$B$2="男",成長曲線_男!E95,成長曲線_女!E95)</f>
        <v>123.2</v>
      </c>
      <c r="G97">
        <f>IF(入力!$B$2="男",成長曲線_男!F95,成長曲線_女!F95)</f>
        <v>5.2</v>
      </c>
      <c r="H97">
        <f>IF(入力!$B$2="男",成長曲線_男!G95,成長曲線_女!G95)</f>
        <v>133.6</v>
      </c>
      <c r="I97">
        <f>IF(入力!$B$2="男",成長曲線_男!H95,成長曲線_女!H95)</f>
        <v>128.4</v>
      </c>
      <c r="J97">
        <f>IF(入力!$B$2="男",成長曲線_男!I95,成長曲線_女!I95)</f>
        <v>118</v>
      </c>
      <c r="K97">
        <f>IF(入力!$B$2="男",成長曲線_男!J95,成長曲線_女!J95)</f>
        <v>112.8</v>
      </c>
      <c r="L97">
        <f>IF(入力!$B$2="男",成長曲線_男!K95,成長曲線_女!K95)</f>
        <v>110.2</v>
      </c>
      <c r="M97">
        <f>IF(入力!$B$2="男",成長曲線_男!L95,成長曲線_女!L95)</f>
        <v>107.6</v>
      </c>
      <c r="O97">
        <f>IF(入力!$B$2="男",成長曲線_男!N95,成長曲線_女!N95)</f>
        <v>24.6</v>
      </c>
      <c r="P97">
        <f>IF(入力!$B$2="男",成長曲線_男!O95,成長曲線_女!O95)</f>
        <v>4.4800000000000004</v>
      </c>
      <c r="Q97">
        <f>IF(入力!$B$2="男",成長曲線_男!P95,成長曲線_女!P95)</f>
        <v>33.56</v>
      </c>
      <c r="R97">
        <f>IF(入力!$B$2="男",成長曲線_男!Q95,成長曲線_女!Q95)</f>
        <v>29.080000000000002</v>
      </c>
      <c r="S97">
        <f>IF(入力!$B$2="男",成長曲線_男!R95,成長曲線_女!R95)</f>
        <v>20.12</v>
      </c>
      <c r="T97">
        <f>IF(入力!$B$2="男",成長曲線_男!S95,成長曲線_女!S95)</f>
        <v>15.64</v>
      </c>
      <c r="AE97">
        <f>IF($D97*12&lt;150,IF($D97*12&lt;IF(入力!$B$2="男",78,69),2,3),4)+IF(入力!$B$2="男",0,4)</f>
        <v>7</v>
      </c>
      <c r="AF97">
        <f t="shared" si="11"/>
        <v>-2.1756399967600002</v>
      </c>
      <c r="AG97">
        <f>IF($D97*12&lt;90,IF($D97*12&lt;26.75,IF($D97*12&lt;9.5,IF($D97*12&lt;2.5,2,3),4),5),6)+IF(入力!$B$2="男",0,6)+IF(AND(入力!$B$2&lt;&gt;"男",$D97*12&gt;=150),1,0)</f>
        <v>12</v>
      </c>
      <c r="AH97">
        <f t="shared" si="12"/>
        <v>15.737650726810001</v>
      </c>
      <c r="AI97">
        <f>IF(($D97*12)&lt;90,2,3)+IF(入力!$B$2="男",0,3)</f>
        <v>6</v>
      </c>
      <c r="AJ97">
        <f t="shared" si="13"/>
        <v>0.12144647276669995</v>
      </c>
      <c r="AK97">
        <f t="shared" si="10"/>
        <v>13.073999447126566</v>
      </c>
      <c r="AL97">
        <f t="shared" si="15"/>
        <v>13.763355243939655</v>
      </c>
      <c r="AM97">
        <f t="shared" si="15"/>
        <v>14.59494308917083</v>
      </c>
      <c r="AN97">
        <f t="shared" si="15"/>
        <v>15.737650726810001</v>
      </c>
      <c r="AO97">
        <f t="shared" si="15"/>
        <v>17.223456178475374</v>
      </c>
      <c r="AP97">
        <f t="shared" si="15"/>
        <v>19.031182719411674</v>
      </c>
      <c r="AQ97">
        <f t="shared" si="15"/>
        <v>21.581915873999254</v>
      </c>
    </row>
    <row r="98" spans="1:43" x14ac:dyDescent="0.15">
      <c r="A98">
        <f t="shared" si="8"/>
        <v>7</v>
      </c>
      <c r="B98" s="2">
        <v>10</v>
      </c>
      <c r="D98" s="3">
        <f t="shared" si="14"/>
        <v>7.833333333333333</v>
      </c>
      <c r="F98">
        <f>IF(入力!$B$2="男",成長曲線_男!E96,成長曲線_女!E96)</f>
        <v>123.6</v>
      </c>
      <c r="G98">
        <f>IF(入力!$B$2="男",成長曲線_男!F96,成長曲線_女!F96)</f>
        <v>5.3</v>
      </c>
      <c r="H98">
        <f>IF(入力!$B$2="男",成長曲線_男!G96,成長曲線_女!G96)</f>
        <v>134.19999999999999</v>
      </c>
      <c r="I98">
        <f>IF(入力!$B$2="男",成長曲線_男!H96,成長曲線_女!H96)</f>
        <v>128.9</v>
      </c>
      <c r="J98">
        <f>IF(入力!$B$2="男",成長曲線_男!I96,成長曲線_女!I96)</f>
        <v>118.3</v>
      </c>
      <c r="K98">
        <f>IF(入力!$B$2="男",成長曲線_男!J96,成長曲線_女!J96)</f>
        <v>113</v>
      </c>
      <c r="L98">
        <f>IF(入力!$B$2="男",成長曲線_男!K96,成長曲線_女!K96)</f>
        <v>110.35</v>
      </c>
      <c r="M98">
        <f>IF(入力!$B$2="男",成長曲線_男!L96,成長曲線_女!L96)</f>
        <v>107.69999999999999</v>
      </c>
      <c r="O98">
        <f>IF(入力!$B$2="男",成長曲線_男!N96,成長曲線_女!N96)</f>
        <v>24.9</v>
      </c>
      <c r="P98">
        <f>IF(入力!$B$2="男",成長曲線_男!O96,成長曲線_女!O96)</f>
        <v>4.57</v>
      </c>
      <c r="Q98">
        <f>IF(入力!$B$2="男",成長曲線_男!P96,成長曲線_女!P96)</f>
        <v>34.04</v>
      </c>
      <c r="R98">
        <f>IF(入力!$B$2="男",成長曲線_男!Q96,成長曲線_女!Q96)</f>
        <v>29.47</v>
      </c>
      <c r="S98">
        <f>IF(入力!$B$2="男",成長曲線_男!R96,成長曲線_女!R96)</f>
        <v>20.329999999999998</v>
      </c>
      <c r="T98">
        <f>IF(入力!$B$2="男",成長曲線_男!S96,成長曲線_女!S96)</f>
        <v>15.759999999999998</v>
      </c>
      <c r="AE98">
        <f>IF($D98*12&lt;150,IF($D98*12&lt;IF(入力!$B$2="男",78,69),2,3),4)+IF(入力!$B$2="男",0,4)</f>
        <v>7</v>
      </c>
      <c r="AF98">
        <f t="shared" si="11"/>
        <v>-2.1737775581200003</v>
      </c>
      <c r="AG98">
        <f>IF($D98*12&lt;90,IF($D98*12&lt;26.75,IF($D98*12&lt;9.5,IF($D98*12&lt;2.5,2,3),4),5),6)+IF(入力!$B$2="男",0,6)+IF(AND(入力!$B$2&lt;&gt;"男",$D98*12&gt;=150),1,0)</f>
        <v>12</v>
      </c>
      <c r="AH98">
        <f t="shared" si="12"/>
        <v>15.762292940720002</v>
      </c>
      <c r="AI98">
        <f>IF(($D98*12)&lt;90,2,3)+IF(入力!$B$2="男",0,3)</f>
        <v>6</v>
      </c>
      <c r="AJ98">
        <f t="shared" si="13"/>
        <v>0.12215517133039994</v>
      </c>
      <c r="AK98">
        <f t="shared" si="10"/>
        <v>13.082456545742311</v>
      </c>
      <c r="AL98">
        <f t="shared" si="15"/>
        <v>13.775351573762235</v>
      </c>
      <c r="AM98">
        <f t="shared" si="15"/>
        <v>14.611795286166974</v>
      </c>
      <c r="AN98">
        <f t="shared" si="15"/>
        <v>15.762292940720002</v>
      </c>
      <c r="AO98">
        <f t="shared" si="15"/>
        <v>17.260326609714795</v>
      </c>
      <c r="AP98">
        <f t="shared" si="15"/>
        <v>19.086462835993018</v>
      </c>
      <c r="AQ98">
        <f t="shared" si="15"/>
        <v>21.670613104902184</v>
      </c>
    </row>
    <row r="99" spans="1:43" x14ac:dyDescent="0.15">
      <c r="A99">
        <f t="shared" si="8"/>
        <v>7</v>
      </c>
      <c r="B99" s="2">
        <v>11</v>
      </c>
      <c r="D99" s="3">
        <f t="shared" si="14"/>
        <v>7.916666666666667</v>
      </c>
      <c r="F99">
        <f>IF(入力!$B$2="男",成長曲線_男!E97,成長曲線_女!E97)</f>
        <v>124.1</v>
      </c>
      <c r="G99">
        <f>IF(入力!$B$2="男",成長曲線_男!F97,成長曲線_女!F97)</f>
        <v>5.3</v>
      </c>
      <c r="H99">
        <f>IF(入力!$B$2="男",成長曲線_男!G97,成長曲線_女!G97)</f>
        <v>134.69999999999999</v>
      </c>
      <c r="I99">
        <f>IF(入力!$B$2="男",成長曲線_男!H97,成長曲線_女!H97)</f>
        <v>129.4</v>
      </c>
      <c r="J99">
        <f>IF(入力!$B$2="男",成長曲線_男!I97,成長曲線_女!I97)</f>
        <v>118.8</v>
      </c>
      <c r="K99">
        <f>IF(入力!$B$2="男",成長曲線_男!J97,成長曲線_女!J97)</f>
        <v>113.5</v>
      </c>
      <c r="L99">
        <f>IF(入力!$B$2="男",成長曲線_男!K97,成長曲線_女!K97)</f>
        <v>110.85</v>
      </c>
      <c r="M99">
        <f>IF(入力!$B$2="男",成長曲線_男!L97,成長曲線_女!L97)</f>
        <v>108.19999999999999</v>
      </c>
      <c r="O99">
        <f>IF(入力!$B$2="男",成長曲線_男!N97,成長曲線_女!N97)</f>
        <v>25.1</v>
      </c>
      <c r="P99">
        <f>IF(入力!$B$2="男",成長曲線_男!O97,成長曲線_女!O97)</f>
        <v>4.6500000000000004</v>
      </c>
      <c r="Q99">
        <f>IF(入力!$B$2="男",成長曲線_男!P97,成長曲線_女!P97)</f>
        <v>34.400000000000006</v>
      </c>
      <c r="R99">
        <f>IF(入力!$B$2="男",成長曲線_男!Q97,成長曲線_女!Q97)</f>
        <v>29.75</v>
      </c>
      <c r="S99">
        <f>IF(入力!$B$2="男",成長曲線_男!R97,成長曲線_女!R97)</f>
        <v>20.450000000000003</v>
      </c>
      <c r="T99">
        <f>IF(入力!$B$2="男",成長曲線_男!S97,成長曲線_女!S97)</f>
        <v>15.8</v>
      </c>
      <c r="AE99">
        <f>IF($D99*12&lt;150,IF($D99*12&lt;IF(入力!$B$2="男",78,69),2,3),4)+IF(入力!$B$2="男",0,4)</f>
        <v>7</v>
      </c>
      <c r="AF99">
        <f t="shared" si="11"/>
        <v>-2.170817921000002</v>
      </c>
      <c r="AG99">
        <f>IF($D99*12&lt;90,IF($D99*12&lt;26.75,IF($D99*12&lt;9.5,IF($D99*12&lt;2.5,2,3),4),5),6)+IF(入力!$B$2="男",0,6)+IF(AND(入力!$B$2&lt;&gt;"男",$D99*12&gt;=150),1,0)</f>
        <v>12</v>
      </c>
      <c r="AH99">
        <f t="shared" si="12"/>
        <v>15.788303468750001</v>
      </c>
      <c r="AI99">
        <f>IF(($D99*12)&lt;90,2,3)+IF(入力!$B$2="男",0,3)</f>
        <v>6</v>
      </c>
      <c r="AJ99">
        <f t="shared" si="13"/>
        <v>0.12284706136249995</v>
      </c>
      <c r="AK99">
        <f t="shared" si="10"/>
        <v>13.092092129421681</v>
      </c>
      <c r="AL99">
        <f t="shared" si="15"/>
        <v>13.788624561799539</v>
      </c>
      <c r="AM99">
        <f t="shared" si="15"/>
        <v>14.629999213454203</v>
      </c>
      <c r="AN99">
        <f t="shared" si="15"/>
        <v>15.788303468750001</v>
      </c>
      <c r="AO99">
        <f t="shared" si="15"/>
        <v>17.298418075186039</v>
      </c>
      <c r="AP99">
        <f t="shared" si="15"/>
        <v>19.142494874610914</v>
      </c>
      <c r="AQ99">
        <f t="shared" si="15"/>
        <v>21.758794767306377</v>
      </c>
    </row>
    <row r="100" spans="1:43" x14ac:dyDescent="0.15">
      <c r="A100">
        <f t="shared" si="8"/>
        <v>8</v>
      </c>
      <c r="B100" s="2">
        <v>0</v>
      </c>
      <c r="D100" s="3">
        <f t="shared" si="14"/>
        <v>8</v>
      </c>
      <c r="F100">
        <f>IF(入力!$B$2="男",成長曲線_男!E98,成長曲線_女!E98)</f>
        <v>124.6</v>
      </c>
      <c r="G100">
        <f>IF(入力!$B$2="男",成長曲線_男!F98,成長曲線_女!F98)</f>
        <v>5.4</v>
      </c>
      <c r="H100">
        <f>IF(入力!$B$2="男",成長曲線_男!G98,成長曲線_女!G98)</f>
        <v>135.4</v>
      </c>
      <c r="I100">
        <f>IF(入力!$B$2="男",成長曲線_男!H98,成長曲線_女!H98)</f>
        <v>130</v>
      </c>
      <c r="J100">
        <f>IF(入力!$B$2="男",成長曲線_男!I98,成長曲線_女!I98)</f>
        <v>119.19999999999999</v>
      </c>
      <c r="K100">
        <f>IF(入力!$B$2="男",成長曲線_男!J98,成長曲線_女!J98)</f>
        <v>113.8</v>
      </c>
      <c r="L100">
        <f>IF(入力!$B$2="男",成長曲線_男!K98,成長曲線_女!K98)</f>
        <v>111.1</v>
      </c>
      <c r="M100">
        <f>IF(入力!$B$2="男",成長曲線_男!L98,成長曲線_女!L98)</f>
        <v>108.39999999999999</v>
      </c>
      <c r="O100">
        <f>IF(入力!$B$2="男",成長曲線_男!N98,成長曲線_女!N98)</f>
        <v>25.4</v>
      </c>
      <c r="P100">
        <f>IF(入力!$B$2="男",成長曲線_男!O98,成長曲線_女!O98)</f>
        <v>4.74</v>
      </c>
      <c r="Q100">
        <f>IF(入力!$B$2="男",成長曲線_男!P98,成長曲線_女!P98)</f>
        <v>34.879999999999995</v>
      </c>
      <c r="R100">
        <f>IF(入力!$B$2="男",成長曲線_男!Q98,成長曲線_女!Q98)</f>
        <v>30.14</v>
      </c>
      <c r="S100">
        <f>IF(入力!$B$2="男",成長曲線_男!R98,成長曲線_女!R98)</f>
        <v>20.659999999999997</v>
      </c>
      <c r="T100">
        <f>IF(入力!$B$2="男",成長曲線_男!S98,成長曲線_女!S98)</f>
        <v>15.919999999999998</v>
      </c>
      <c r="AE100">
        <f>IF($D100*12&lt;150,IF($D100*12&lt;IF(入力!$B$2="男",78,69),2,3),4)+IF(入力!$B$2="男",0,4)</f>
        <v>7</v>
      </c>
      <c r="AF100">
        <f t="shared" si="11"/>
        <v>-2.1667961114799974</v>
      </c>
      <c r="AG100">
        <f>IF($D100*12&lt;90,IF($D100*12&lt;26.75,IF($D100*12&lt;9.5,IF($D100*12&lt;2.5,2,3),4),5),6)+IF(入力!$B$2="男",0,6)+IF(AND(入力!$B$2&lt;&gt;"男",$D100*12&gt;=150),1,0)</f>
        <v>12</v>
      </c>
      <c r="AH100">
        <f t="shared" si="12"/>
        <v>15.815664072879999</v>
      </c>
      <c r="AI100">
        <f>IF(($D100*12)&lt;90,2,3)+IF(入力!$B$2="男",0,3)</f>
        <v>6</v>
      </c>
      <c r="AJ100">
        <f t="shared" si="13"/>
        <v>0.12352226936159993</v>
      </c>
      <c r="AK100">
        <f t="shared" si="10"/>
        <v>13.102885765220327</v>
      </c>
      <c r="AL100">
        <f t="shared" si="15"/>
        <v>13.803154073197227</v>
      </c>
      <c r="AM100">
        <f t="shared" si="15"/>
        <v>14.649535519334954</v>
      </c>
      <c r="AN100">
        <f t="shared" si="15"/>
        <v>15.815664072879999</v>
      </c>
      <c r="AO100">
        <f t="shared" si="15"/>
        <v>17.337711698350116</v>
      </c>
      <c r="AP100">
        <f t="shared" si="15"/>
        <v>19.199250338009609</v>
      </c>
      <c r="AQ100">
        <f t="shared" si="15"/>
        <v>21.846383051395257</v>
      </c>
    </row>
    <row r="101" spans="1:43" x14ac:dyDescent="0.15">
      <c r="A101">
        <f t="shared" si="8"/>
        <v>8</v>
      </c>
      <c r="B101" s="2">
        <v>1</v>
      </c>
      <c r="D101" s="3">
        <f t="shared" si="14"/>
        <v>8.0833333333333339</v>
      </c>
      <c r="F101">
        <f>IF(入力!$B$2="男",成長曲線_男!E99,成長曲線_女!E99)</f>
        <v>125.1</v>
      </c>
      <c r="G101">
        <f>IF(入力!$B$2="男",成長曲線_男!F99,成長曲線_女!F99)</f>
        <v>5.4</v>
      </c>
      <c r="H101">
        <f>IF(入力!$B$2="男",成長曲線_男!G99,成長曲線_女!G99)</f>
        <v>135.9</v>
      </c>
      <c r="I101">
        <f>IF(入力!$B$2="男",成長曲線_男!H99,成長曲線_女!H99)</f>
        <v>130.5</v>
      </c>
      <c r="J101">
        <f>IF(入力!$B$2="男",成長曲線_男!I99,成長曲線_女!I99)</f>
        <v>119.69999999999999</v>
      </c>
      <c r="K101">
        <f>IF(入力!$B$2="男",成長曲線_男!J99,成長曲線_女!J99)</f>
        <v>114.3</v>
      </c>
      <c r="L101">
        <f>IF(入力!$B$2="男",成長曲線_男!K99,成長曲線_女!K99)</f>
        <v>111.6</v>
      </c>
      <c r="M101">
        <f>IF(入力!$B$2="男",成長曲線_男!L99,成長曲線_女!L99)</f>
        <v>108.89999999999999</v>
      </c>
      <c r="O101">
        <f>IF(入力!$B$2="男",成長曲線_男!N99,成長曲線_女!N99)</f>
        <v>25.7</v>
      </c>
      <c r="P101">
        <f>IF(入力!$B$2="男",成長曲線_男!O99,成長曲線_女!O99)</f>
        <v>4.83</v>
      </c>
      <c r="Q101">
        <f>IF(入力!$B$2="男",成長曲線_男!P99,成長曲線_女!P99)</f>
        <v>35.36</v>
      </c>
      <c r="R101">
        <f>IF(入力!$B$2="男",成長曲線_男!Q99,成長曲線_女!Q99)</f>
        <v>30.53</v>
      </c>
      <c r="S101">
        <f>IF(入力!$B$2="男",成長曲線_男!R99,成長曲線_女!R99)</f>
        <v>20.869999999999997</v>
      </c>
      <c r="T101">
        <f>IF(入力!$B$2="男",成長曲線_男!S99,成長曲線_女!S99)</f>
        <v>16.04</v>
      </c>
      <c r="AE101">
        <f>IF($D101*12&lt;150,IF($D101*12&lt;IF(入力!$B$2="男",78,69),2,3),4)+IF(入力!$B$2="男",0,4)</f>
        <v>7</v>
      </c>
      <c r="AF101">
        <f t="shared" si="11"/>
        <v>-2.1617471556400014</v>
      </c>
      <c r="AG101">
        <f>IF($D101*12&lt;90,IF($D101*12&lt;26.75,IF($D101*12&lt;9.5,IF($D101*12&lt;2.5,2,3),4),5),6)+IF(入力!$B$2="男",0,6)+IF(AND(入力!$B$2&lt;&gt;"男",$D101*12&gt;=150),1,0)</f>
        <v>12</v>
      </c>
      <c r="AH101">
        <f t="shared" si="12"/>
        <v>15.844356515089999</v>
      </c>
      <c r="AI101">
        <f>IF(($D101*12)&lt;90,2,3)+IF(入力!$B$2="男",0,3)</f>
        <v>6</v>
      </c>
      <c r="AJ101">
        <f t="shared" si="13"/>
        <v>0.12418092182629994</v>
      </c>
      <c r="AK101">
        <f t="shared" si="10"/>
        <v>13.114817514564692</v>
      </c>
      <c r="AL101">
        <f t="shared" si="15"/>
        <v>13.81892033360332</v>
      </c>
      <c r="AM101">
        <f t="shared" si="15"/>
        <v>14.670385035293023</v>
      </c>
      <c r="AN101">
        <f t="shared" si="15"/>
        <v>15.844356515089999</v>
      </c>
      <c r="AO101">
        <f t="shared" si="15"/>
        <v>17.378188730105151</v>
      </c>
      <c r="AP101">
        <f t="shared" si="15"/>
        <v>19.256702223050958</v>
      </c>
      <c r="AQ101">
        <f t="shared" si="15"/>
        <v>21.933307835588835</v>
      </c>
    </row>
    <row r="102" spans="1:43" x14ac:dyDescent="0.15">
      <c r="A102">
        <f t="shared" si="8"/>
        <v>8</v>
      </c>
      <c r="B102" s="2">
        <v>2</v>
      </c>
      <c r="D102" s="3">
        <f t="shared" si="14"/>
        <v>8.1666666666666661</v>
      </c>
      <c r="F102">
        <f>IF(入力!$B$2="男",成長曲線_男!E100,成長曲線_女!E100)</f>
        <v>125.6</v>
      </c>
      <c r="G102">
        <f>IF(入力!$B$2="男",成長曲線_男!F100,成長曲線_女!F100)</f>
        <v>5.4</v>
      </c>
      <c r="H102">
        <f>IF(入力!$B$2="男",成長曲線_男!G100,成長曲線_女!G100)</f>
        <v>136.4</v>
      </c>
      <c r="I102">
        <f>IF(入力!$B$2="男",成長曲線_男!H100,成長曲線_女!H100)</f>
        <v>131</v>
      </c>
      <c r="J102">
        <f>IF(入力!$B$2="男",成長曲線_男!I100,成長曲線_女!I100)</f>
        <v>120.19999999999999</v>
      </c>
      <c r="K102">
        <f>IF(入力!$B$2="男",成長曲線_男!J100,成長曲線_女!J100)</f>
        <v>114.8</v>
      </c>
      <c r="L102">
        <f>IF(入力!$B$2="男",成長曲線_男!K100,成長曲線_女!K100)</f>
        <v>112.1</v>
      </c>
      <c r="M102">
        <f>IF(入力!$B$2="男",成長曲線_男!L100,成長曲線_女!L100)</f>
        <v>109.39999999999999</v>
      </c>
      <c r="O102">
        <f>IF(入力!$B$2="男",成長曲線_男!N100,成長曲線_女!N100)</f>
        <v>25.9</v>
      </c>
      <c r="P102">
        <f>IF(入力!$B$2="男",成長曲線_男!O100,成長曲線_女!O100)</f>
        <v>4.91</v>
      </c>
      <c r="Q102">
        <f>IF(入力!$B$2="男",成長曲線_男!P100,成長曲線_女!P100)</f>
        <v>35.72</v>
      </c>
      <c r="R102">
        <f>IF(入力!$B$2="男",成長曲線_男!Q100,成長曲線_女!Q100)</f>
        <v>30.81</v>
      </c>
      <c r="S102">
        <f>IF(入力!$B$2="男",成長曲線_男!R100,成長曲線_女!R100)</f>
        <v>20.99</v>
      </c>
      <c r="T102">
        <f>IF(入力!$B$2="男",成長曲線_男!S100,成長曲線_女!S100)</f>
        <v>16.079999999999998</v>
      </c>
      <c r="AE102">
        <f>IF($D102*12&lt;150,IF($D102*12&lt;IF(入力!$B$2="男",78,69),2,3),4)+IF(入力!$B$2="男",0,4)</f>
        <v>7</v>
      </c>
      <c r="AF102">
        <f t="shared" si="11"/>
        <v>-2.1557060795600025</v>
      </c>
      <c r="AG102">
        <f>IF($D102*12&lt;90,IF($D102*12&lt;26.75,IF($D102*12&lt;9.5,IF($D102*12&lt;2.5,2,3),4),5),6)+IF(入力!$B$2="男",0,6)+IF(AND(入力!$B$2&lt;&gt;"男",$D102*12&gt;=150),1,0)</f>
        <v>12</v>
      </c>
      <c r="AH102">
        <f t="shared" si="12"/>
        <v>15.87436255736</v>
      </c>
      <c r="AI102">
        <f>IF(($D102*12)&lt;90,2,3)+IF(入力!$B$2="男",0,3)</f>
        <v>6</v>
      </c>
      <c r="AJ102">
        <f t="shared" si="13"/>
        <v>0.12482314525519994</v>
      </c>
      <c r="AK102">
        <f t="shared" si="10"/>
        <v>13.127867924592813</v>
      </c>
      <c r="AL102">
        <f t="shared" si="15"/>
        <v>13.835903922274776</v>
      </c>
      <c r="AM102">
        <f t="shared" si="15"/>
        <v>14.692528772257168</v>
      </c>
      <c r="AN102">
        <f t="shared" si="15"/>
        <v>15.87436255736</v>
      </c>
      <c r="AO102">
        <f t="shared" si="15"/>
        <v>17.419830552141789</v>
      </c>
      <c r="AP102">
        <f t="shared" si="15"/>
        <v>19.314825049410825</v>
      </c>
      <c r="AQ102">
        <f t="shared" si="15"/>
        <v>22.019506995432963</v>
      </c>
    </row>
    <row r="103" spans="1:43" x14ac:dyDescent="0.15">
      <c r="A103">
        <f t="shared" si="8"/>
        <v>8</v>
      </c>
      <c r="B103" s="2">
        <v>3</v>
      </c>
      <c r="D103" s="3">
        <f t="shared" si="14"/>
        <v>8.25</v>
      </c>
      <c r="F103">
        <f>IF(入力!$B$2="男",成長曲線_男!E101,成長曲線_女!E101)</f>
        <v>126.1</v>
      </c>
      <c r="G103">
        <f>IF(入力!$B$2="男",成長曲線_男!F101,成長曲線_女!F101)</f>
        <v>5.5</v>
      </c>
      <c r="H103">
        <f>IF(入力!$B$2="男",成長曲線_男!G101,成長曲線_女!G101)</f>
        <v>137.1</v>
      </c>
      <c r="I103">
        <f>IF(入力!$B$2="男",成長曲線_男!H101,成長曲線_女!H101)</f>
        <v>131.6</v>
      </c>
      <c r="J103">
        <f>IF(入力!$B$2="男",成長曲線_男!I101,成長曲線_女!I101)</f>
        <v>120.6</v>
      </c>
      <c r="K103">
        <f>IF(入力!$B$2="男",成長曲線_男!J101,成長曲線_女!J101)</f>
        <v>115.1</v>
      </c>
      <c r="L103">
        <f>IF(入力!$B$2="男",成長曲線_男!K101,成長曲線_女!K101)</f>
        <v>112.35</v>
      </c>
      <c r="M103">
        <f>IF(入力!$B$2="男",成長曲線_男!L101,成長曲線_女!L101)</f>
        <v>109.6</v>
      </c>
      <c r="O103">
        <f>IF(入力!$B$2="男",成長曲線_男!N101,成長曲線_女!N101)</f>
        <v>26.2</v>
      </c>
      <c r="P103">
        <f>IF(入力!$B$2="男",成長曲線_男!O101,成長曲線_女!O101)</f>
        <v>5</v>
      </c>
      <c r="Q103">
        <f>IF(入力!$B$2="男",成長曲線_男!P101,成長曲線_女!P101)</f>
        <v>36.200000000000003</v>
      </c>
      <c r="R103">
        <f>IF(入力!$B$2="男",成長曲線_男!Q101,成長曲線_女!Q101)</f>
        <v>31.2</v>
      </c>
      <c r="S103">
        <f>IF(入力!$B$2="男",成長曲線_男!R101,成長曲線_女!R101)</f>
        <v>21.2</v>
      </c>
      <c r="T103">
        <f>IF(入力!$B$2="男",成長曲線_男!S101,成長曲線_女!S101)</f>
        <v>16.2</v>
      </c>
      <c r="AE103">
        <f>IF($D103*12&lt;150,IF($D103*12&lt;IF(入力!$B$2="男",78,69),2,3),4)+IF(入力!$B$2="男",0,4)</f>
        <v>7</v>
      </c>
      <c r="AF103">
        <f t="shared" si="11"/>
        <v>-2.1487079093200014</v>
      </c>
      <c r="AG103">
        <f>IF($D103*12&lt;90,IF($D103*12&lt;26.75,IF($D103*12&lt;9.5,IF($D103*12&lt;2.5,2,3),4),5),6)+IF(入力!$B$2="男",0,6)+IF(AND(入力!$B$2&lt;&gt;"男",$D103*12&gt;=150),1,0)</f>
        <v>12</v>
      </c>
      <c r="AH103">
        <f t="shared" si="12"/>
        <v>15.905663961670001</v>
      </c>
      <c r="AI103">
        <f>IF(($D103*12)&lt;90,2,3)+IF(入力!$B$2="男",0,3)</f>
        <v>6</v>
      </c>
      <c r="AJ103">
        <f t="shared" si="13"/>
        <v>0.12544906614689999</v>
      </c>
      <c r="AK103">
        <f t="shared" si="10"/>
        <v>13.142018020769639</v>
      </c>
      <c r="AL103">
        <f t="shared" si="15"/>
        <v>13.854085765840113</v>
      </c>
      <c r="AM103">
        <f t="shared" si="15"/>
        <v>14.715947917039836</v>
      </c>
      <c r="AN103">
        <f t="shared" si="15"/>
        <v>15.905663961670001</v>
      </c>
      <c r="AO103">
        <f t="shared" si="15"/>
        <v>17.462618679628122</v>
      </c>
      <c r="AP103">
        <f t="shared" si="15"/>
        <v>19.373594878513554</v>
      </c>
      <c r="AQ103">
        <f t="shared" si="15"/>
        <v>22.104926631076253</v>
      </c>
    </row>
    <row r="104" spans="1:43" x14ac:dyDescent="0.15">
      <c r="A104">
        <f t="shared" si="8"/>
        <v>8</v>
      </c>
      <c r="B104" s="2">
        <v>4</v>
      </c>
      <c r="D104" s="3">
        <f t="shared" si="14"/>
        <v>8.3333333333333339</v>
      </c>
      <c r="F104">
        <f>IF(入力!$B$2="男",成長曲線_男!E102,成長曲線_女!E102)</f>
        <v>126.5</v>
      </c>
      <c r="G104">
        <f>IF(入力!$B$2="男",成長曲線_男!F102,成長曲線_女!F102)</f>
        <v>5.5</v>
      </c>
      <c r="H104">
        <f>IF(入力!$B$2="男",成長曲線_男!G102,成長曲線_女!G102)</f>
        <v>137.5</v>
      </c>
      <c r="I104">
        <f>IF(入力!$B$2="男",成長曲線_男!H102,成長曲線_女!H102)</f>
        <v>132</v>
      </c>
      <c r="J104">
        <f>IF(入力!$B$2="男",成長曲線_男!I102,成長曲線_女!I102)</f>
        <v>121</v>
      </c>
      <c r="K104">
        <f>IF(入力!$B$2="男",成長曲線_男!J102,成長曲線_女!J102)</f>
        <v>115.5</v>
      </c>
      <c r="L104">
        <f>IF(入力!$B$2="男",成長曲線_男!K102,成長曲線_女!K102)</f>
        <v>112.75</v>
      </c>
      <c r="M104">
        <f>IF(入力!$B$2="男",成長曲線_男!L102,成長曲線_女!L102)</f>
        <v>110</v>
      </c>
      <c r="O104">
        <f>IF(入力!$B$2="男",成長曲線_男!N102,成長曲線_女!N102)</f>
        <v>26.5</v>
      </c>
      <c r="P104">
        <f>IF(入力!$B$2="男",成長曲線_男!O102,成長曲線_女!O102)</f>
        <v>5.09</v>
      </c>
      <c r="Q104">
        <f>IF(入力!$B$2="男",成長曲線_男!P102,成長曲線_女!P102)</f>
        <v>36.68</v>
      </c>
      <c r="R104">
        <f>IF(入力!$B$2="男",成長曲線_男!Q102,成長曲線_女!Q102)</f>
        <v>31.59</v>
      </c>
      <c r="S104">
        <f>IF(入力!$B$2="男",成長曲線_男!R102,成長曲線_女!R102)</f>
        <v>21.41</v>
      </c>
      <c r="T104">
        <f>IF(入力!$B$2="男",成長曲線_男!S102,成長曲線_女!S102)</f>
        <v>16.32</v>
      </c>
      <c r="AE104">
        <f>IF($D104*12&lt;150,IF($D104*12&lt;IF(入力!$B$2="男",78,69),2,3),4)+IF(入力!$B$2="男",0,4)</f>
        <v>7</v>
      </c>
      <c r="AF104">
        <f t="shared" si="11"/>
        <v>-2.1407876709999991</v>
      </c>
      <c r="AG104">
        <f>IF($D104*12&lt;90,IF($D104*12&lt;26.75,IF($D104*12&lt;9.5,IF($D104*12&lt;2.5,2,3),4),5),6)+IF(入力!$B$2="男",0,6)+IF(AND(入力!$B$2&lt;&gt;"男",$D104*12&gt;=150),1,0)</f>
        <v>12</v>
      </c>
      <c r="AH104">
        <f t="shared" si="12"/>
        <v>15.93824249</v>
      </c>
      <c r="AI104">
        <f>IF(($D104*12)&lt;90,2,3)+IF(入力!$B$2="男",0,3)</f>
        <v>6</v>
      </c>
      <c r="AJ104">
        <f t="shared" si="13"/>
        <v>0.12605881099999994</v>
      </c>
      <c r="AK104">
        <f t="shared" si="10"/>
        <v>13.157249300702976</v>
      </c>
      <c r="AL104">
        <f t="shared" si="15"/>
        <v>13.873447132681031</v>
      </c>
      <c r="AM104">
        <f t="shared" si="15"/>
        <v>14.740623828941873</v>
      </c>
      <c r="AN104">
        <f t="shared" si="15"/>
        <v>15.93824249</v>
      </c>
      <c r="AO104">
        <f t="shared" si="15"/>
        <v>17.50653476323895</v>
      </c>
      <c r="AP104">
        <f t="shared" si="15"/>
        <v>19.43298932280295</v>
      </c>
      <c r="AQ104">
        <f t="shared" si="15"/>
        <v>22.189521211550694</v>
      </c>
    </row>
    <row r="105" spans="1:43" x14ac:dyDescent="0.15">
      <c r="A105">
        <f t="shared" ref="A105:A168" si="16">A93+1</f>
        <v>8</v>
      </c>
      <c r="B105" s="2">
        <v>5</v>
      </c>
      <c r="D105" s="3">
        <f t="shared" si="14"/>
        <v>8.4166666666666661</v>
      </c>
      <c r="F105">
        <f>IF(入力!$B$2="男",成長曲線_男!E103,成長曲線_女!E103)</f>
        <v>127</v>
      </c>
      <c r="G105">
        <f>IF(入力!$B$2="男",成長曲線_男!F103,成長曲線_女!F103)</f>
        <v>5.5</v>
      </c>
      <c r="H105">
        <f>IF(入力!$B$2="男",成長曲線_男!G103,成長曲線_女!G103)</f>
        <v>138</v>
      </c>
      <c r="I105">
        <f>IF(入力!$B$2="男",成長曲線_男!H103,成長曲線_女!H103)</f>
        <v>132.5</v>
      </c>
      <c r="J105">
        <f>IF(入力!$B$2="男",成長曲線_男!I103,成長曲線_女!I103)</f>
        <v>121.5</v>
      </c>
      <c r="K105">
        <f>IF(入力!$B$2="男",成長曲線_男!J103,成長曲線_女!J103)</f>
        <v>116</v>
      </c>
      <c r="L105">
        <f>IF(入力!$B$2="男",成長曲線_男!K103,成長曲線_女!K103)</f>
        <v>113.25</v>
      </c>
      <c r="M105">
        <f>IF(入力!$B$2="男",成長曲線_男!L103,成長曲線_女!L103)</f>
        <v>110.5</v>
      </c>
      <c r="O105">
        <f>IF(入力!$B$2="男",成長曲線_男!N103,成長曲線_女!N103)</f>
        <v>26.7</v>
      </c>
      <c r="P105">
        <f>IF(入力!$B$2="男",成長曲線_男!O103,成長曲線_女!O103)</f>
        <v>5.17</v>
      </c>
      <c r="Q105">
        <f>IF(入力!$B$2="男",成長曲線_男!P103,成長曲線_女!P103)</f>
        <v>37.04</v>
      </c>
      <c r="R105">
        <f>IF(入力!$B$2="男",成長曲線_男!Q103,成長曲線_女!Q103)</f>
        <v>31.869999999999997</v>
      </c>
      <c r="S105">
        <f>IF(入力!$B$2="男",成長曲線_男!R103,成長曲線_女!R103)</f>
        <v>21.53</v>
      </c>
      <c r="T105">
        <f>IF(入力!$B$2="男",成長曲線_男!S103,成長曲線_女!S103)</f>
        <v>16.36</v>
      </c>
      <c r="AE105">
        <f>IF($D105*12&lt;150,IF($D105*12&lt;IF(入力!$B$2="男",78,69),2,3),4)+IF(入力!$B$2="男",0,4)</f>
        <v>7</v>
      </c>
      <c r="AF105">
        <f t="shared" si="11"/>
        <v>-2.1319803906799999</v>
      </c>
      <c r="AG105">
        <f>IF($D105*12&lt;90,IF($D105*12&lt;26.75,IF($D105*12&lt;9.5,IF($D105*12&lt;2.5,2,3),4),5),6)+IF(入力!$B$2="男",0,6)+IF(AND(入力!$B$2&lt;&gt;"男",$D105*12&gt;=150),1,0)</f>
        <v>12</v>
      </c>
      <c r="AH105">
        <f t="shared" si="12"/>
        <v>15.97207990433</v>
      </c>
      <c r="AI105">
        <f>IF(($D105*12)&lt;90,2,3)+IF(入力!$B$2="男",0,3)</f>
        <v>6</v>
      </c>
      <c r="AJ105">
        <f t="shared" si="13"/>
        <v>0.12665250631309993</v>
      </c>
      <c r="AK105">
        <f t="shared" si="10"/>
        <v>13.17354372908876</v>
      </c>
      <c r="AL105">
        <f t="shared" si="15"/>
        <v>13.893969627896437</v>
      </c>
      <c r="AM105">
        <f t="shared" si="15"/>
        <v>14.766538036513687</v>
      </c>
      <c r="AN105">
        <f t="shared" si="15"/>
        <v>15.97207990433</v>
      </c>
      <c r="AO105">
        <f t="shared" si="15"/>
        <v>17.551560590547595</v>
      </c>
      <c r="AP105">
        <f t="shared" si="15"/>
        <v>19.492987545554726</v>
      </c>
      <c r="AQ105">
        <f t="shared" si="15"/>
        <v>22.273253635680458</v>
      </c>
    </row>
    <row r="106" spans="1:43" x14ac:dyDescent="0.15">
      <c r="A106">
        <f t="shared" si="16"/>
        <v>8</v>
      </c>
      <c r="B106" s="2">
        <v>6</v>
      </c>
      <c r="D106" s="3">
        <f t="shared" si="14"/>
        <v>8.5</v>
      </c>
      <c r="F106">
        <f>IF(入力!$B$2="男",成長曲線_男!E104,成長曲線_女!E104)</f>
        <v>127.5</v>
      </c>
      <c r="G106">
        <f>IF(入力!$B$2="男",成長曲線_男!F104,成長曲線_女!F104)</f>
        <v>5.6</v>
      </c>
      <c r="H106">
        <f>IF(入力!$B$2="男",成長曲線_男!G104,成長曲線_女!G104)</f>
        <v>138.69999999999999</v>
      </c>
      <c r="I106">
        <f>IF(入力!$B$2="男",成長曲線_男!H104,成長曲線_女!H104)</f>
        <v>133.1</v>
      </c>
      <c r="J106">
        <f>IF(入力!$B$2="男",成長曲線_男!I104,成長曲線_女!I104)</f>
        <v>121.9</v>
      </c>
      <c r="K106">
        <f>IF(入力!$B$2="男",成長曲線_男!J104,成長曲線_女!J104)</f>
        <v>116.3</v>
      </c>
      <c r="L106">
        <f>IF(入力!$B$2="男",成長曲線_男!K104,成長曲線_女!K104)</f>
        <v>113.5</v>
      </c>
      <c r="M106">
        <f>IF(入力!$B$2="男",成長曲線_男!L104,成長曲線_女!L104)</f>
        <v>110.7</v>
      </c>
      <c r="O106">
        <f>IF(入力!$B$2="男",成長曲線_男!N104,成長曲線_女!N104)</f>
        <v>27</v>
      </c>
      <c r="P106">
        <f>IF(入力!$B$2="男",成長曲線_男!O104,成長曲線_女!O104)</f>
        <v>5.26</v>
      </c>
      <c r="Q106">
        <f>IF(入力!$B$2="男",成長曲線_男!P104,成長曲線_女!P104)</f>
        <v>37.519999999999996</v>
      </c>
      <c r="R106">
        <f>IF(入力!$B$2="男",成長曲線_男!Q104,成長曲線_女!Q104)</f>
        <v>32.26</v>
      </c>
      <c r="S106">
        <f>IF(入力!$B$2="男",成長曲線_男!R104,成長曲線_女!R104)</f>
        <v>21.740000000000002</v>
      </c>
      <c r="T106">
        <f>IF(入力!$B$2="男",成長曲線_男!S104,成長曲線_女!S104)</f>
        <v>16.48</v>
      </c>
      <c r="AE106">
        <f>IF($D106*12&lt;150,IF($D106*12&lt;IF(入力!$B$2="男",78,69),2,3),4)+IF(入力!$B$2="男",0,4)</f>
        <v>7</v>
      </c>
      <c r="AF106">
        <f t="shared" si="11"/>
        <v>-2.1223210944400011</v>
      </c>
      <c r="AG106">
        <f>IF($D106*12&lt;90,IF($D106*12&lt;26.75,IF($D106*12&lt;9.5,IF($D106*12&lt;2.5,2,3),4),5),6)+IF(入力!$B$2="男",0,6)+IF(AND(入力!$B$2&lt;&gt;"男",$D106*12&gt;=150),1,0)</f>
        <v>12</v>
      </c>
      <c r="AH106">
        <f t="shared" si="12"/>
        <v>16.007157966640001</v>
      </c>
      <c r="AI106">
        <f>IF(($D106*12)&lt;90,2,3)+IF(入力!$B$2="男",0,3)</f>
        <v>6</v>
      </c>
      <c r="AJ106">
        <f t="shared" si="13"/>
        <v>0.12723027858479996</v>
      </c>
      <c r="AK106">
        <f t="shared" si="10"/>
        <v>13.190883733716223</v>
      </c>
      <c r="AL106">
        <f t="shared" si="15"/>
        <v>13.915635188812372</v>
      </c>
      <c r="AM106">
        <f t="shared" si="15"/>
        <v>14.7936722344632</v>
      </c>
      <c r="AN106">
        <f t="shared" si="15"/>
        <v>16.007157966640001</v>
      </c>
      <c r="AO106">
        <f t="shared" si="15"/>
        <v>17.597678086801427</v>
      </c>
      <c r="AP106">
        <f t="shared" si="15"/>
        <v>19.55357025153582</v>
      </c>
      <c r="AQ106">
        <f t="shared" si="15"/>
        <v>22.356095211014495</v>
      </c>
    </row>
    <row r="107" spans="1:43" x14ac:dyDescent="0.15">
      <c r="A107">
        <f t="shared" si="16"/>
        <v>8</v>
      </c>
      <c r="B107" s="2">
        <v>7</v>
      </c>
      <c r="D107" s="3">
        <f t="shared" si="14"/>
        <v>8.5833333333333339</v>
      </c>
      <c r="F107">
        <f>IF(入力!$B$2="男",成長曲線_男!E105,成長曲線_女!E105)</f>
        <v>128</v>
      </c>
      <c r="G107">
        <f>IF(入力!$B$2="男",成長曲線_男!F105,成長曲線_女!F105)</f>
        <v>5.6</v>
      </c>
      <c r="H107">
        <f>IF(入力!$B$2="男",成長曲線_男!G105,成長曲線_女!G105)</f>
        <v>139.19999999999999</v>
      </c>
      <c r="I107">
        <f>IF(入力!$B$2="男",成長曲線_男!H105,成長曲線_女!H105)</f>
        <v>133.6</v>
      </c>
      <c r="J107">
        <f>IF(入力!$B$2="男",成長曲線_男!I105,成長曲線_女!I105)</f>
        <v>122.4</v>
      </c>
      <c r="K107">
        <f>IF(入力!$B$2="男",成長曲線_男!J105,成長曲線_女!J105)</f>
        <v>116.8</v>
      </c>
      <c r="L107">
        <f>IF(入力!$B$2="男",成長曲線_男!K105,成長曲線_女!K105)</f>
        <v>114</v>
      </c>
      <c r="M107">
        <f>IF(入力!$B$2="男",成長曲線_男!L105,成長曲線_女!L105)</f>
        <v>111.2</v>
      </c>
      <c r="O107">
        <f>IF(入力!$B$2="男",成長曲線_男!N105,成長曲線_女!N105)</f>
        <v>27.3</v>
      </c>
      <c r="P107">
        <f>IF(入力!$B$2="男",成長曲線_男!O105,成長曲線_女!O105)</f>
        <v>5.36</v>
      </c>
      <c r="Q107">
        <f>IF(入力!$B$2="男",成長曲線_男!P105,成長曲線_女!P105)</f>
        <v>38.020000000000003</v>
      </c>
      <c r="R107">
        <f>IF(入力!$B$2="男",成長曲線_男!Q105,成長曲線_女!Q105)</f>
        <v>32.660000000000004</v>
      </c>
      <c r="S107">
        <f>IF(入力!$B$2="男",成長曲線_男!R105,成長曲線_女!R105)</f>
        <v>21.94</v>
      </c>
      <c r="T107">
        <f>IF(入力!$B$2="男",成長曲線_男!S105,成長曲線_女!S105)</f>
        <v>16.579999999999998</v>
      </c>
      <c r="AE107">
        <f>IF($D107*12&lt;150,IF($D107*12&lt;IF(入力!$B$2="男",78,69),2,3),4)+IF(入力!$B$2="男",0,4)</f>
        <v>7</v>
      </c>
      <c r="AF107">
        <f t="shared" si="11"/>
        <v>-2.1118448083599981</v>
      </c>
      <c r="AG107">
        <f>IF($D107*12&lt;90,IF($D107*12&lt;26.75,IF($D107*12&lt;9.5,IF($D107*12&lt;2.5,2,3),4),5),6)+IF(入力!$B$2="男",0,6)+IF(AND(入力!$B$2&lt;&gt;"男",$D107*12&gt;=150),1,0)</f>
        <v>12</v>
      </c>
      <c r="AH107">
        <f t="shared" si="12"/>
        <v>16.043458438910001</v>
      </c>
      <c r="AI107">
        <f>IF(($D107*12)&lt;90,2,3)+IF(入力!$B$2="男",0,3)</f>
        <v>6</v>
      </c>
      <c r="AJ107">
        <f t="shared" si="13"/>
        <v>0.12779225431369998</v>
      </c>
      <c r="AK107">
        <f t="shared" si="10"/>
        <v>13.20925220246535</v>
      </c>
      <c r="AL107">
        <f t="shared" si="15"/>
        <v>13.938426081001831</v>
      </c>
      <c r="AM107">
        <f t="shared" si="15"/>
        <v>14.822008280700697</v>
      </c>
      <c r="AN107">
        <f t="shared" si="15"/>
        <v>16.043458438910001</v>
      </c>
      <c r="AO107">
        <f t="shared" si="15"/>
        <v>17.644869315105382</v>
      </c>
      <c r="AP107">
        <f t="shared" si="15"/>
        <v>19.614719668908794</v>
      </c>
      <c r="AQ107">
        <f t="shared" si="15"/>
        <v>22.438025553666115</v>
      </c>
    </row>
    <row r="108" spans="1:43" x14ac:dyDescent="0.15">
      <c r="A108">
        <f t="shared" si="16"/>
        <v>8</v>
      </c>
      <c r="B108" s="2">
        <v>8</v>
      </c>
      <c r="D108" s="3">
        <f t="shared" si="14"/>
        <v>8.6666666666666661</v>
      </c>
      <c r="F108">
        <f>IF(入力!$B$2="男",成長曲線_男!E106,成長曲線_女!E106)</f>
        <v>128.5</v>
      </c>
      <c r="G108">
        <f>IF(入力!$B$2="男",成長曲線_男!F106,成長曲線_女!F106)</f>
        <v>5.7</v>
      </c>
      <c r="H108">
        <f>IF(入力!$B$2="男",成長曲線_男!G106,成長曲線_女!G106)</f>
        <v>139.9</v>
      </c>
      <c r="I108">
        <f>IF(入力!$B$2="男",成長曲線_男!H106,成長曲線_女!H106)</f>
        <v>134.19999999999999</v>
      </c>
      <c r="J108">
        <f>IF(入力!$B$2="男",成長曲線_男!I106,成長曲線_女!I106)</f>
        <v>122.8</v>
      </c>
      <c r="K108">
        <f>IF(入力!$B$2="男",成長曲線_男!J106,成長曲線_女!J106)</f>
        <v>117.1</v>
      </c>
      <c r="L108">
        <f>IF(入力!$B$2="男",成長曲線_男!K106,成長曲線_女!K106)</f>
        <v>114.25</v>
      </c>
      <c r="M108">
        <f>IF(入力!$B$2="男",成長曲線_男!L106,成長曲線_女!L106)</f>
        <v>111.4</v>
      </c>
      <c r="O108">
        <f>IF(入力!$B$2="男",成長曲線_男!N106,成長曲線_女!N106)</f>
        <v>27.6</v>
      </c>
      <c r="P108">
        <f>IF(入力!$B$2="男",成長曲線_男!O106,成長曲線_女!O106)</f>
        <v>5.45</v>
      </c>
      <c r="Q108">
        <f>IF(入力!$B$2="男",成長曲線_男!P106,成長曲線_女!P106)</f>
        <v>38.5</v>
      </c>
      <c r="R108">
        <f>IF(入力!$B$2="男",成長曲線_男!Q106,成長曲線_女!Q106)</f>
        <v>33.050000000000004</v>
      </c>
      <c r="S108">
        <f>IF(入力!$B$2="男",成長曲線_男!R106,成長曲線_女!R106)</f>
        <v>22.150000000000002</v>
      </c>
      <c r="T108">
        <f>IF(入力!$B$2="男",成長曲線_男!S106,成長曲線_女!S106)</f>
        <v>16.700000000000003</v>
      </c>
      <c r="AE108">
        <f>IF($D108*12&lt;150,IF($D108*12&lt;IF(入力!$B$2="男",78,69),2,3),4)+IF(入力!$B$2="男",0,4)</f>
        <v>7</v>
      </c>
      <c r="AF108">
        <f t="shared" si="11"/>
        <v>-2.1005865585200008</v>
      </c>
      <c r="AG108">
        <f>IF($D108*12&lt;90,IF($D108*12&lt;26.75,IF($D108*12&lt;9.5,IF($D108*12&lt;2.5,2,3),4),5),6)+IF(入力!$B$2="男",0,6)+IF(AND(入力!$B$2&lt;&gt;"男",$D108*12&gt;=150),1,0)</f>
        <v>12</v>
      </c>
      <c r="AH108">
        <f t="shared" si="12"/>
        <v>16.080963083119997</v>
      </c>
      <c r="AI108">
        <f>IF(($D108*12)&lt;90,2,3)+IF(入力!$B$2="男",0,3)</f>
        <v>6</v>
      </c>
      <c r="AJ108">
        <f t="shared" si="13"/>
        <v>0.12833855999839994</v>
      </c>
      <c r="AK108">
        <f t="shared" si="10"/>
        <v>13.228632481230484</v>
      </c>
      <c r="AL108">
        <f t="shared" si="15"/>
        <v>13.96232489477843</v>
      </c>
      <c r="AM108">
        <f t="shared" si="15"/>
        <v>14.851528193510605</v>
      </c>
      <c r="AN108">
        <f t="shared" si="15"/>
        <v>16.080963083119997</v>
      </c>
      <c r="AO108">
        <f t="shared" si="15"/>
        <v>17.693116476040178</v>
      </c>
      <c r="AP108">
        <f t="shared" si="15"/>
        <v>19.676419522862524</v>
      </c>
      <c r="AQ108">
        <f t="shared" si="15"/>
        <v>22.519032413303471</v>
      </c>
    </row>
    <row r="109" spans="1:43" x14ac:dyDescent="0.15">
      <c r="A109">
        <f t="shared" si="16"/>
        <v>8</v>
      </c>
      <c r="B109" s="2">
        <v>9</v>
      </c>
      <c r="D109" s="3">
        <f t="shared" si="14"/>
        <v>8.75</v>
      </c>
      <c r="F109">
        <f>IF(入力!$B$2="男",成長曲線_男!E107,成長曲線_女!E107)</f>
        <v>129</v>
      </c>
      <c r="G109">
        <f>IF(入力!$B$2="男",成長曲線_男!F107,成長曲線_女!F107)</f>
        <v>5.7</v>
      </c>
      <c r="H109">
        <f>IF(入力!$B$2="男",成長曲線_男!G107,成長曲線_女!G107)</f>
        <v>140.4</v>
      </c>
      <c r="I109">
        <f>IF(入力!$B$2="男",成長曲線_男!H107,成長曲線_女!H107)</f>
        <v>134.69999999999999</v>
      </c>
      <c r="J109">
        <f>IF(入力!$B$2="男",成長曲線_男!I107,成長曲線_女!I107)</f>
        <v>123.3</v>
      </c>
      <c r="K109">
        <f>IF(入力!$B$2="男",成長曲線_男!J107,成長曲線_女!J107)</f>
        <v>117.6</v>
      </c>
      <c r="L109">
        <f>IF(入力!$B$2="男",成長曲線_男!K107,成長曲線_女!K107)</f>
        <v>114.75</v>
      </c>
      <c r="M109">
        <f>IF(入力!$B$2="男",成長曲線_男!L107,成長曲線_女!L107)</f>
        <v>111.9</v>
      </c>
      <c r="O109">
        <f>IF(入力!$B$2="男",成長曲線_男!N107,成長曲線_女!N107)</f>
        <v>27.9</v>
      </c>
      <c r="P109">
        <f>IF(入力!$B$2="男",成長曲線_男!O107,成長曲線_女!O107)</f>
        <v>5.55</v>
      </c>
      <c r="Q109">
        <f>IF(入力!$B$2="男",成長曲線_男!P107,成長曲線_女!P107)</f>
        <v>39</v>
      </c>
      <c r="R109">
        <f>IF(入力!$B$2="男",成長曲線_男!Q107,成長曲線_女!Q107)</f>
        <v>33.449999999999996</v>
      </c>
      <c r="S109">
        <f>IF(入力!$B$2="男",成長曲線_男!R107,成長曲線_女!R107)</f>
        <v>22.349999999999998</v>
      </c>
      <c r="T109">
        <f>IF(入力!$B$2="男",成長曲線_男!S107,成長曲線_女!S107)</f>
        <v>16.799999999999997</v>
      </c>
      <c r="AE109">
        <f>IF($D109*12&lt;150,IF($D109*12&lt;IF(入力!$B$2="男",78,69),2,3),4)+IF(入力!$B$2="男",0,4)</f>
        <v>7</v>
      </c>
      <c r="AF109">
        <f t="shared" si="11"/>
        <v>-2.0885813710000045</v>
      </c>
      <c r="AG109">
        <f>IF($D109*12&lt;90,IF($D109*12&lt;26.75,IF($D109*12&lt;9.5,IF($D109*12&lt;2.5,2,3),4),5),6)+IF(入力!$B$2="男",0,6)+IF(AND(入力!$B$2&lt;&gt;"男",$D109*12&gt;=150),1,0)</f>
        <v>12</v>
      </c>
      <c r="AH109">
        <f t="shared" si="12"/>
        <v>16.119653661249998</v>
      </c>
      <c r="AI109">
        <f>IF(($D109*12)&lt;90,2,3)+IF(入力!$B$2="男",0,3)</f>
        <v>6</v>
      </c>
      <c r="AJ109">
        <f t="shared" si="13"/>
        <v>0.12886932213749996</v>
      </c>
      <c r="AK109">
        <f t="shared" si="10"/>
        <v>13.24900837270493</v>
      </c>
      <c r="AL109">
        <f t="shared" si="15"/>
        <v>13.98731454212815</v>
      </c>
      <c r="AM109">
        <f t="shared" si="15"/>
        <v>14.882214148839919</v>
      </c>
      <c r="AN109">
        <f t="shared" si="15"/>
        <v>16.119653661249998</v>
      </c>
      <c r="AO109">
        <f t="shared" si="15"/>
        <v>17.742401906744195</v>
      </c>
      <c r="AP109">
        <f t="shared" si="15"/>
        <v>19.738655001523394</v>
      </c>
      <c r="AQ109">
        <f t="shared" si="15"/>
        <v>22.599111428734012</v>
      </c>
    </row>
    <row r="110" spans="1:43" x14ac:dyDescent="0.15">
      <c r="A110">
        <f t="shared" si="16"/>
        <v>8</v>
      </c>
      <c r="B110" s="2">
        <v>10</v>
      </c>
      <c r="D110" s="3">
        <f t="shared" si="14"/>
        <v>8.8333333333333339</v>
      </c>
      <c r="F110">
        <f>IF(入力!$B$2="男",成長曲線_男!E108,成長曲線_女!E108)</f>
        <v>129.5</v>
      </c>
      <c r="G110">
        <f>IF(入力!$B$2="男",成長曲線_男!F108,成長曲線_女!F108)</f>
        <v>5.8</v>
      </c>
      <c r="H110">
        <f>IF(入力!$B$2="男",成長曲線_男!G108,成長曲線_女!G108)</f>
        <v>141.1</v>
      </c>
      <c r="I110">
        <f>IF(入力!$B$2="男",成長曲線_男!H108,成長曲線_女!H108)</f>
        <v>135.30000000000001</v>
      </c>
      <c r="J110">
        <f>IF(入力!$B$2="男",成長曲線_男!I108,成長曲線_女!I108)</f>
        <v>123.7</v>
      </c>
      <c r="K110">
        <f>IF(入力!$B$2="男",成長曲線_男!J108,成長曲線_女!J108)</f>
        <v>117.9</v>
      </c>
      <c r="L110">
        <f>IF(入力!$B$2="男",成長曲線_男!K108,成長曲線_女!K108)</f>
        <v>115</v>
      </c>
      <c r="M110">
        <f>IF(入力!$B$2="男",成長曲線_男!L108,成長曲線_女!L108)</f>
        <v>112.1</v>
      </c>
      <c r="O110">
        <f>IF(入力!$B$2="男",成長曲線_男!N108,成長曲線_女!N108)</f>
        <v>28.2</v>
      </c>
      <c r="P110">
        <f>IF(入力!$B$2="男",成長曲線_男!O108,成長曲線_女!O108)</f>
        <v>5.64</v>
      </c>
      <c r="Q110">
        <f>IF(入力!$B$2="男",成長曲線_男!P108,成長曲線_女!P108)</f>
        <v>39.479999999999997</v>
      </c>
      <c r="R110">
        <f>IF(入力!$B$2="男",成長曲線_男!Q108,成長曲線_女!Q108)</f>
        <v>33.839999999999996</v>
      </c>
      <c r="S110">
        <f>IF(入力!$B$2="男",成長曲線_男!R108,成長曲線_女!R108)</f>
        <v>22.56</v>
      </c>
      <c r="T110">
        <f>IF(入力!$B$2="男",成長曲線_男!S108,成長曲線_女!S108)</f>
        <v>16.920000000000002</v>
      </c>
      <c r="AE110">
        <f>IF($D110*12&lt;150,IF($D110*12&lt;IF(入力!$B$2="男",78,69),2,3),4)+IF(入力!$B$2="男",0,4)</f>
        <v>7</v>
      </c>
      <c r="AF110">
        <f t="shared" si="11"/>
        <v>-2.0758642718800013</v>
      </c>
      <c r="AG110">
        <f>IF($D110*12&lt;90,IF($D110*12&lt;26.75,IF($D110*12&lt;9.5,IF($D110*12&lt;2.5,2,3),4),5),6)+IF(入力!$B$2="男",0,6)+IF(AND(入力!$B$2&lt;&gt;"男",$D110*12&gt;=150),1,0)</f>
        <v>12</v>
      </c>
      <c r="AH110">
        <f t="shared" si="12"/>
        <v>16.159511935280001</v>
      </c>
      <c r="AI110">
        <f>IF(($D110*12)&lt;90,2,3)+IF(入力!$B$2="男",0,3)</f>
        <v>6</v>
      </c>
      <c r="AJ110">
        <f t="shared" si="13"/>
        <v>0.12938466722959996</v>
      </c>
      <c r="AK110">
        <f t="shared" si="10"/>
        <v>13.270364135962241</v>
      </c>
      <c r="AL110">
        <f t="shared" si="15"/>
        <v>14.01337825404331</v>
      </c>
      <c r="AM110">
        <f t="shared" si="15"/>
        <v>14.914048477693086</v>
      </c>
      <c r="AN110">
        <f t="shared" si="15"/>
        <v>16.159511935280001</v>
      </c>
      <c r="AO110">
        <f t="shared" si="15"/>
        <v>17.792708079490094</v>
      </c>
      <c r="AP110">
        <f t="shared" si="15"/>
        <v>19.801412714762886</v>
      </c>
      <c r="AQ110">
        <f t="shared" si="15"/>
        <v>22.678265820535778</v>
      </c>
    </row>
    <row r="111" spans="1:43" x14ac:dyDescent="0.15">
      <c r="A111">
        <f t="shared" si="16"/>
        <v>8</v>
      </c>
      <c r="B111" s="2">
        <v>11</v>
      </c>
      <c r="D111" s="3">
        <f t="shared" si="14"/>
        <v>8.9166666666666661</v>
      </c>
      <c r="F111">
        <f>IF(入力!$B$2="男",成長曲線_男!E109,成長曲線_女!E109)</f>
        <v>130</v>
      </c>
      <c r="G111">
        <f>IF(入力!$B$2="男",成長曲線_男!F109,成長曲線_女!F109)</f>
        <v>5.8</v>
      </c>
      <c r="H111">
        <f>IF(入力!$B$2="男",成長曲線_男!G109,成長曲線_女!G109)</f>
        <v>141.6</v>
      </c>
      <c r="I111">
        <f>IF(入力!$B$2="男",成長曲線_男!H109,成長曲線_女!H109)</f>
        <v>135.80000000000001</v>
      </c>
      <c r="J111">
        <f>IF(入力!$B$2="男",成長曲線_男!I109,成長曲線_女!I109)</f>
        <v>124.2</v>
      </c>
      <c r="K111">
        <f>IF(入力!$B$2="男",成長曲線_男!J109,成長曲線_女!J109)</f>
        <v>118.4</v>
      </c>
      <c r="L111">
        <f>IF(入力!$B$2="男",成長曲線_男!K109,成長曲線_女!K109)</f>
        <v>115.5</v>
      </c>
      <c r="M111">
        <f>IF(入力!$B$2="男",成長曲線_男!L109,成長曲線_女!L109)</f>
        <v>112.6</v>
      </c>
      <c r="O111">
        <f>IF(入力!$B$2="男",成長曲線_男!N109,成長曲線_女!N109)</f>
        <v>28.5</v>
      </c>
      <c r="P111">
        <f>IF(入力!$B$2="男",成長曲線_男!O109,成長曲線_女!O109)</f>
        <v>5.74</v>
      </c>
      <c r="Q111">
        <f>IF(入力!$B$2="男",成長曲線_男!P109,成長曲線_女!P109)</f>
        <v>39.980000000000004</v>
      </c>
      <c r="R111">
        <f>IF(入力!$B$2="男",成長曲線_男!Q109,成長曲線_女!Q109)</f>
        <v>34.24</v>
      </c>
      <c r="S111">
        <f>IF(入力!$B$2="男",成長曲線_男!R109,成長曲線_女!R109)</f>
        <v>22.759999999999998</v>
      </c>
      <c r="T111">
        <f>IF(入力!$B$2="男",成長曲線_男!S109,成長曲線_女!S109)</f>
        <v>17.02</v>
      </c>
      <c r="AE111">
        <f>IF($D111*12&lt;150,IF($D111*12&lt;IF(入力!$B$2="男",78,69),2,3),4)+IF(入力!$B$2="男",0,4)</f>
        <v>7</v>
      </c>
      <c r="AF111">
        <f t="shared" si="11"/>
        <v>-2.0624702872400009</v>
      </c>
      <c r="AG111">
        <f>IF($D111*12&lt;90,IF($D111*12&lt;26.75,IF($D111*12&lt;9.5,IF($D111*12&lt;2.5,2,3),4),5),6)+IF(入力!$B$2="男",0,6)+IF(AND(入力!$B$2&lt;&gt;"男",$D111*12&gt;=150),1,0)</f>
        <v>12</v>
      </c>
      <c r="AH111">
        <f t="shared" si="12"/>
        <v>16.200519667190001</v>
      </c>
      <c r="AI111">
        <f>IF(($D111*12)&lt;90,2,3)+IF(入力!$B$2="男",0,3)</f>
        <v>6</v>
      </c>
      <c r="AJ111">
        <f t="shared" si="13"/>
        <v>0.12988472177329996</v>
      </c>
      <c r="AK111">
        <f t="shared" si="10"/>
        <v>13.292684486770451</v>
      </c>
      <c r="AL111">
        <f t="shared" si="15"/>
        <v>14.040499578223113</v>
      </c>
      <c r="AM111">
        <f t="shared" si="15"/>
        <v>14.947013663622846</v>
      </c>
      <c r="AN111">
        <f t="shared" si="15"/>
        <v>16.200519667190001</v>
      </c>
      <c r="AO111">
        <f t="shared" si="15"/>
        <v>17.844017599788842</v>
      </c>
      <c r="AP111">
        <f t="shared" si="15"/>
        <v>19.864680646567315</v>
      </c>
      <c r="AQ111">
        <f t="shared" si="15"/>
        <v>22.756506027989559</v>
      </c>
    </row>
    <row r="112" spans="1:43" x14ac:dyDescent="0.15">
      <c r="A112">
        <f t="shared" si="16"/>
        <v>9</v>
      </c>
      <c r="B112" s="2">
        <v>0</v>
      </c>
      <c r="D112" s="3">
        <f t="shared" si="14"/>
        <v>9</v>
      </c>
      <c r="F112">
        <f>IF(入力!$B$2="男",成長曲線_男!E110,成長曲線_女!E110)</f>
        <v>130.5</v>
      </c>
      <c r="G112">
        <f>IF(入力!$B$2="男",成長曲線_男!F110,成長曲線_女!F110)</f>
        <v>5.9</v>
      </c>
      <c r="H112">
        <f>IF(入力!$B$2="男",成長曲線_男!G110,成長曲線_女!G110)</f>
        <v>142.30000000000001</v>
      </c>
      <c r="I112">
        <f>IF(入力!$B$2="男",成長曲線_男!H110,成長曲線_女!H110)</f>
        <v>136.4</v>
      </c>
      <c r="J112">
        <f>IF(入力!$B$2="男",成長曲線_男!I110,成長曲線_女!I110)</f>
        <v>124.6</v>
      </c>
      <c r="K112">
        <f>IF(入力!$B$2="男",成長曲線_男!J110,成長曲線_女!J110)</f>
        <v>118.7</v>
      </c>
      <c r="L112">
        <f>IF(入力!$B$2="男",成長曲線_男!K110,成長曲線_女!K110)</f>
        <v>115.75</v>
      </c>
      <c r="M112">
        <f>IF(入力!$B$2="男",成長曲線_男!L110,成長曲線_女!L110)</f>
        <v>112.8</v>
      </c>
      <c r="O112">
        <f>IF(入力!$B$2="男",成長曲線_男!N110,成長曲線_女!N110)</f>
        <v>28.9</v>
      </c>
      <c r="P112">
        <f>IF(入力!$B$2="男",成長曲線_男!O110,成長曲線_女!O110)</f>
        <v>5.84</v>
      </c>
      <c r="Q112">
        <f>IF(入力!$B$2="男",成長曲線_男!P110,成長曲線_女!P110)</f>
        <v>40.58</v>
      </c>
      <c r="R112">
        <f>IF(入力!$B$2="男",成長曲線_男!Q110,成長曲線_女!Q110)</f>
        <v>34.739999999999995</v>
      </c>
      <c r="S112">
        <f>IF(入力!$B$2="男",成長曲線_男!R110,成長曲線_女!R110)</f>
        <v>23.06</v>
      </c>
      <c r="T112">
        <f>IF(入力!$B$2="男",成長曲線_男!S110,成長曲線_女!S110)</f>
        <v>17.22</v>
      </c>
      <c r="AE112">
        <f>IF($D112*12&lt;150,IF($D112*12&lt;IF(入力!$B$2="男",78,69),2,3),4)+IF(入力!$B$2="男",0,4)</f>
        <v>7</v>
      </c>
      <c r="AF112">
        <f t="shared" si="11"/>
        <v>-2.0484344431600059</v>
      </c>
      <c r="AG112">
        <f>IF($D112*12&lt;90,IF($D112*12&lt;26.75,IF($D112*12&lt;9.5,IF($D112*12&lt;2.5,2,3),4),5),6)+IF(入力!$B$2="男",0,6)+IF(AND(入力!$B$2&lt;&gt;"男",$D112*12&gt;=150),1,0)</f>
        <v>12</v>
      </c>
      <c r="AH112">
        <f t="shared" si="12"/>
        <v>16.24265861896</v>
      </c>
      <c r="AI112">
        <f>IF(($D112*12)&lt;90,2,3)+IF(入力!$B$2="男",0,3)</f>
        <v>6</v>
      </c>
      <c r="AJ112">
        <f t="shared" si="13"/>
        <v>0.13036961226719992</v>
      </c>
      <c r="AK112">
        <f t="shared" si="10"/>
        <v>13.315954598575502</v>
      </c>
      <c r="AL112">
        <f t="shared" si="15"/>
        <v>14.068662377104761</v>
      </c>
      <c r="AM112">
        <f t="shared" si="15"/>
        <v>14.981092340306645</v>
      </c>
      <c r="AN112">
        <f t="shared" si="15"/>
        <v>16.24265861896</v>
      </c>
      <c r="AO112">
        <f t="shared" si="15"/>
        <v>17.896313204055151</v>
      </c>
      <c r="AP112">
        <f t="shared" si="15"/>
        <v>19.928448101673496</v>
      </c>
      <c r="AQ112">
        <f t="shared" si="15"/>
        <v>22.833849298148586</v>
      </c>
    </row>
    <row r="113" spans="1:43" x14ac:dyDescent="0.15">
      <c r="A113">
        <f t="shared" si="16"/>
        <v>9</v>
      </c>
      <c r="B113" s="2">
        <v>1</v>
      </c>
      <c r="D113" s="3">
        <f t="shared" si="14"/>
        <v>9.0833333333333339</v>
      </c>
      <c r="F113">
        <f>IF(入力!$B$2="男",成長曲線_男!E111,成長曲線_女!E111)</f>
        <v>131</v>
      </c>
      <c r="G113">
        <f>IF(入力!$B$2="男",成長曲線_男!F111,成長曲線_女!F111)</f>
        <v>5.9</v>
      </c>
      <c r="H113">
        <f>IF(入力!$B$2="男",成長曲線_男!G111,成長曲線_女!G111)</f>
        <v>142.80000000000001</v>
      </c>
      <c r="I113">
        <f>IF(入力!$B$2="男",成長曲線_男!H111,成長曲線_女!H111)</f>
        <v>136.9</v>
      </c>
      <c r="J113">
        <f>IF(入力!$B$2="男",成長曲線_男!I111,成長曲線_女!I111)</f>
        <v>125.1</v>
      </c>
      <c r="K113">
        <f>IF(入力!$B$2="男",成長曲線_男!J111,成長曲線_女!J111)</f>
        <v>119.2</v>
      </c>
      <c r="L113">
        <f>IF(入力!$B$2="男",成長曲線_男!K111,成長曲線_女!K111)</f>
        <v>116.25</v>
      </c>
      <c r="M113">
        <f>IF(入力!$B$2="男",成長曲線_男!L111,成長曲線_女!L111)</f>
        <v>113.3</v>
      </c>
      <c r="O113">
        <f>IF(入力!$B$2="男",成長曲線_男!N111,成長曲線_女!N111)</f>
        <v>29.2</v>
      </c>
      <c r="P113">
        <f>IF(入力!$B$2="男",成長曲線_男!O111,成長曲線_女!O111)</f>
        <v>5.93</v>
      </c>
      <c r="Q113">
        <f>IF(入力!$B$2="男",成長曲線_男!P111,成長曲線_女!P111)</f>
        <v>41.06</v>
      </c>
      <c r="R113">
        <f>IF(入力!$B$2="男",成長曲線_男!Q111,成長曲線_女!Q111)</f>
        <v>35.129999999999995</v>
      </c>
      <c r="S113">
        <f>IF(入力!$B$2="男",成長曲線_男!R111,成長曲線_女!R111)</f>
        <v>23.27</v>
      </c>
      <c r="T113">
        <f>IF(入力!$B$2="男",成長曲線_男!S111,成長曲線_女!S111)</f>
        <v>17.34</v>
      </c>
      <c r="AE113">
        <f>IF($D113*12&lt;150,IF($D113*12&lt;IF(入力!$B$2="男",78,69),2,3),4)+IF(入力!$B$2="男",0,4)</f>
        <v>7</v>
      </c>
      <c r="AF113">
        <f t="shared" si="11"/>
        <v>-2.0337917657200011</v>
      </c>
      <c r="AG113">
        <f>IF($D113*12&lt;90,IF($D113*12&lt;26.75,IF($D113*12&lt;9.5,IF($D113*12&lt;2.5,2,3),4),5),6)+IF(入力!$B$2="男",0,6)+IF(AND(入力!$B$2&lt;&gt;"男",$D113*12&gt;=150),1,0)</f>
        <v>12</v>
      </c>
      <c r="AH113">
        <f t="shared" si="12"/>
        <v>16.285910552570002</v>
      </c>
      <c r="AI113">
        <f>IF(($D113*12)&lt;90,2,3)+IF(入力!$B$2="男",0,3)</f>
        <v>6</v>
      </c>
      <c r="AJ113">
        <f t="shared" si="13"/>
        <v>0.13083946520989995</v>
      </c>
      <c r="AK113">
        <f t="shared" si="10"/>
        <v>13.340160104090076</v>
      </c>
      <c r="AL113">
        <f t="shared" si="15"/>
        <v>14.097850826189228</v>
      </c>
      <c r="AM113">
        <f t="shared" si="15"/>
        <v>15.016267289197971</v>
      </c>
      <c r="AN113">
        <f t="shared" si="15"/>
        <v>16.285910552570002</v>
      </c>
      <c r="AO113">
        <f t="shared" si="15"/>
        <v>17.949577756869473</v>
      </c>
      <c r="AP113">
        <f t="shared" si="15"/>
        <v>19.992705647199983</v>
      </c>
      <c r="AQ113">
        <f t="shared" si="15"/>
        <v>22.910319235245996</v>
      </c>
    </row>
    <row r="114" spans="1:43" x14ac:dyDescent="0.15">
      <c r="A114">
        <f t="shared" si="16"/>
        <v>9</v>
      </c>
      <c r="B114" s="2">
        <v>2</v>
      </c>
      <c r="D114" s="3">
        <f t="shared" si="14"/>
        <v>9.1666666666666661</v>
      </c>
      <c r="F114">
        <f>IF(入力!$B$2="男",成長曲線_男!E112,成長曲線_女!E112)</f>
        <v>131.5</v>
      </c>
      <c r="G114">
        <f>IF(入力!$B$2="男",成長曲線_男!F112,成長曲線_女!F112)</f>
        <v>6</v>
      </c>
      <c r="H114">
        <f>IF(入力!$B$2="男",成長曲線_男!G112,成長曲線_女!G112)</f>
        <v>143.5</v>
      </c>
      <c r="I114">
        <f>IF(入力!$B$2="男",成長曲線_男!H112,成長曲線_女!H112)</f>
        <v>137.5</v>
      </c>
      <c r="J114">
        <f>IF(入力!$B$2="男",成長曲線_男!I112,成長曲線_女!I112)</f>
        <v>125.5</v>
      </c>
      <c r="K114">
        <f>IF(入力!$B$2="男",成長曲線_男!J112,成長曲線_女!J112)</f>
        <v>119.5</v>
      </c>
      <c r="L114">
        <f>IF(入力!$B$2="男",成長曲線_男!K112,成長曲線_女!K112)</f>
        <v>116.5</v>
      </c>
      <c r="M114">
        <f>IF(入力!$B$2="男",成長曲線_男!L112,成長曲線_女!L112)</f>
        <v>113.5</v>
      </c>
      <c r="O114">
        <f>IF(入力!$B$2="男",成長曲線_男!N112,成長曲線_女!N112)</f>
        <v>29.5</v>
      </c>
      <c r="P114">
        <f>IF(入力!$B$2="男",成長曲線_男!O112,成長曲線_女!O112)</f>
        <v>6.03</v>
      </c>
      <c r="Q114">
        <f>IF(入力!$B$2="男",成長曲線_男!P112,成長曲線_女!P112)</f>
        <v>41.56</v>
      </c>
      <c r="R114">
        <f>IF(入力!$B$2="男",成長曲線_男!Q112,成長曲線_女!Q112)</f>
        <v>35.53</v>
      </c>
      <c r="S114">
        <f>IF(入力!$B$2="男",成長曲線_男!R112,成長曲線_女!R112)</f>
        <v>23.47</v>
      </c>
      <c r="T114">
        <f>IF(入力!$B$2="男",成長曲線_男!S112,成長曲線_女!S112)</f>
        <v>17.439999999999998</v>
      </c>
      <c r="AE114">
        <f>IF($D114*12&lt;150,IF($D114*12&lt;IF(入力!$B$2="男",78,69),2,3),4)+IF(入力!$B$2="男",0,4)</f>
        <v>7</v>
      </c>
      <c r="AF114">
        <f t="shared" si="11"/>
        <v>-2.0185772810000033</v>
      </c>
      <c r="AG114">
        <f>IF($D114*12&lt;90,IF($D114*12&lt;26.75,IF($D114*12&lt;9.5,IF($D114*12&lt;2.5,2,3),4),5),6)+IF(入力!$B$2="男",0,6)+IF(AND(入力!$B$2&lt;&gt;"男",$D114*12&gt;=150),1,0)</f>
        <v>12</v>
      </c>
      <c r="AH114">
        <f t="shared" si="12"/>
        <v>16.330257230000001</v>
      </c>
      <c r="AI114">
        <f>IF(($D114*12)&lt;90,2,3)+IF(入力!$B$2="男",0,3)</f>
        <v>6</v>
      </c>
      <c r="AJ114">
        <f t="shared" si="13"/>
        <v>0.13129440709999995</v>
      </c>
      <c r="AK114">
        <f t="shared" si="10"/>
        <v>13.36528709742371</v>
      </c>
      <c r="AL114">
        <f t="shared" si="15"/>
        <v>14.128049412625417</v>
      </c>
      <c r="AM114">
        <f t="shared" si="15"/>
        <v>15.052521437242055</v>
      </c>
      <c r="AN114">
        <f t="shared" si="15"/>
        <v>16.330257230000001</v>
      </c>
      <c r="AO114">
        <f t="shared" si="15"/>
        <v>18.003794247872253</v>
      </c>
      <c r="AP114">
        <f t="shared" si="15"/>
        <v>20.057445050018156</v>
      </c>
      <c r="AQ114">
        <f t="shared" si="15"/>
        <v>22.985945318790197</v>
      </c>
    </row>
    <row r="115" spans="1:43" x14ac:dyDescent="0.15">
      <c r="A115">
        <f t="shared" si="16"/>
        <v>9</v>
      </c>
      <c r="B115" s="2">
        <v>3</v>
      </c>
      <c r="D115" s="3">
        <f t="shared" si="14"/>
        <v>9.25</v>
      </c>
      <c r="F115">
        <f>IF(入力!$B$2="男",成長曲線_男!E113,成長曲線_女!E113)</f>
        <v>132</v>
      </c>
      <c r="G115">
        <f>IF(入力!$B$2="男",成長曲線_男!F113,成長曲線_女!F113)</f>
        <v>6</v>
      </c>
      <c r="H115">
        <f>IF(入力!$B$2="男",成長曲線_男!G113,成長曲線_女!G113)</f>
        <v>144</v>
      </c>
      <c r="I115">
        <f>IF(入力!$B$2="男",成長曲線_男!H113,成長曲線_女!H113)</f>
        <v>138</v>
      </c>
      <c r="J115">
        <f>IF(入力!$B$2="男",成長曲線_男!I113,成長曲線_女!I113)</f>
        <v>126</v>
      </c>
      <c r="K115">
        <f>IF(入力!$B$2="男",成長曲線_男!J113,成長曲線_女!J113)</f>
        <v>120</v>
      </c>
      <c r="L115">
        <f>IF(入力!$B$2="男",成長曲線_男!K113,成長曲線_女!K113)</f>
        <v>117</v>
      </c>
      <c r="M115">
        <f>IF(入力!$B$2="男",成長曲線_男!L113,成長曲線_女!L113)</f>
        <v>114</v>
      </c>
      <c r="O115">
        <f>IF(入力!$B$2="男",成長曲線_男!N113,成長曲線_女!N113)</f>
        <v>29.8</v>
      </c>
      <c r="P115">
        <f>IF(入力!$B$2="男",成長曲線_男!O113,成長曲線_女!O113)</f>
        <v>6.12</v>
      </c>
      <c r="Q115">
        <f>IF(入力!$B$2="男",成長曲線_男!P113,成長曲線_女!P113)</f>
        <v>42.04</v>
      </c>
      <c r="R115">
        <f>IF(入力!$B$2="男",成長曲線_男!Q113,成長曲線_女!Q113)</f>
        <v>35.92</v>
      </c>
      <c r="S115">
        <f>IF(入力!$B$2="男",成長曲線_男!R113,成長曲線_女!R113)</f>
        <v>23.68</v>
      </c>
      <c r="T115">
        <f>IF(入力!$B$2="男",成長曲線_男!S113,成長曲線_女!S113)</f>
        <v>17.560000000000002</v>
      </c>
      <c r="AE115">
        <f>IF($D115*12&lt;150,IF($D115*12&lt;IF(入力!$B$2="男",78,69),2,3),4)+IF(入力!$B$2="男",0,4)</f>
        <v>7</v>
      </c>
      <c r="AF115">
        <f t="shared" si="11"/>
        <v>-2.002826015080001</v>
      </c>
      <c r="AG115">
        <f>IF($D115*12&lt;90,IF($D115*12&lt;26.75,IF($D115*12&lt;9.5,IF($D115*12&lt;2.5,2,3),4),5),6)+IF(入力!$B$2="男",0,6)+IF(AND(入力!$B$2&lt;&gt;"男",$D115*12&gt;=150),1,0)</f>
        <v>12</v>
      </c>
      <c r="AH115">
        <f t="shared" si="12"/>
        <v>16.37568041323</v>
      </c>
      <c r="AI115">
        <f>IF(($D115*12)&lt;90,2,3)+IF(入力!$B$2="男",0,3)</f>
        <v>6</v>
      </c>
      <c r="AJ115">
        <f t="shared" si="13"/>
        <v>0.13173456443609996</v>
      </c>
      <c r="AK115">
        <f t="shared" si="10"/>
        <v>13.391322136689137</v>
      </c>
      <c r="AL115">
        <f t="shared" si="15"/>
        <v>14.159242934016158</v>
      </c>
      <c r="AM115">
        <f t="shared" si="15"/>
        <v>15.089837854645216</v>
      </c>
      <c r="AN115">
        <f t="shared" si="15"/>
        <v>16.37568041323</v>
      </c>
      <c r="AO115">
        <f t="shared" si="15"/>
        <v>18.058945788326763</v>
      </c>
      <c r="AP115">
        <f t="shared" si="15"/>
        <v>20.122659210610557</v>
      </c>
      <c r="AQ115">
        <f t="shared" si="15"/>
        <v>23.060762398648947</v>
      </c>
    </row>
    <row r="116" spans="1:43" x14ac:dyDescent="0.15">
      <c r="A116">
        <f t="shared" si="16"/>
        <v>9</v>
      </c>
      <c r="B116" s="2">
        <v>4</v>
      </c>
      <c r="D116" s="3">
        <f t="shared" si="14"/>
        <v>9.3333333333333339</v>
      </c>
      <c r="F116">
        <f>IF(入力!$B$2="男",成長曲線_男!E114,成長曲線_女!E114)</f>
        <v>132.5</v>
      </c>
      <c r="G116">
        <f>IF(入力!$B$2="男",成長曲線_男!F114,成長曲線_女!F114)</f>
        <v>6.1</v>
      </c>
      <c r="H116">
        <f>IF(入力!$B$2="男",成長曲線_男!G114,成長曲線_女!G114)</f>
        <v>144.69999999999999</v>
      </c>
      <c r="I116">
        <f>IF(入力!$B$2="男",成長曲線_男!H114,成長曲線_女!H114)</f>
        <v>138.6</v>
      </c>
      <c r="J116">
        <f>IF(入力!$B$2="男",成長曲線_男!I114,成長曲線_女!I114)</f>
        <v>126.4</v>
      </c>
      <c r="K116">
        <f>IF(入力!$B$2="男",成長曲線_男!J114,成長曲線_女!J114)</f>
        <v>120.3</v>
      </c>
      <c r="L116">
        <f>IF(入力!$B$2="男",成長曲線_男!K114,成長曲線_女!K114)</f>
        <v>117.25</v>
      </c>
      <c r="M116">
        <f>IF(入力!$B$2="男",成長曲線_男!L114,成長曲線_女!L114)</f>
        <v>114.2</v>
      </c>
      <c r="O116">
        <f>IF(入力!$B$2="男",成長曲線_男!N114,成長曲線_女!N114)</f>
        <v>30.1</v>
      </c>
      <c r="P116">
        <f>IF(入力!$B$2="男",成長曲線_男!O114,成長曲線_女!O114)</f>
        <v>6.22</v>
      </c>
      <c r="Q116">
        <f>IF(入力!$B$2="男",成長曲線_男!P114,成長曲線_女!P114)</f>
        <v>42.54</v>
      </c>
      <c r="R116">
        <f>IF(入力!$B$2="男",成長曲線_男!Q114,成長曲線_女!Q114)</f>
        <v>36.32</v>
      </c>
      <c r="S116">
        <f>IF(入力!$B$2="男",成長曲線_男!R114,成長曲線_女!R114)</f>
        <v>23.880000000000003</v>
      </c>
      <c r="T116">
        <f>IF(入力!$B$2="男",成長曲線_男!S114,成長曲線_女!S114)</f>
        <v>17.660000000000004</v>
      </c>
      <c r="AE116">
        <f>IF($D116*12&lt;150,IF($D116*12&lt;IF(入力!$B$2="男",78,69),2,3),4)+IF(入力!$B$2="男",0,4)</f>
        <v>7</v>
      </c>
      <c r="AF116">
        <f t="shared" si="11"/>
        <v>-1.9865729940400003</v>
      </c>
      <c r="AG116">
        <f>IF($D116*12&lt;90,IF($D116*12&lt;26.75,IF($D116*12&lt;9.5,IF($D116*12&lt;2.5,2,3),4),5),6)+IF(入力!$B$2="男",0,6)+IF(AND(入力!$B$2&lt;&gt;"男",$D116*12&gt;=150),1,0)</f>
        <v>12</v>
      </c>
      <c r="AH116">
        <f t="shared" si="12"/>
        <v>16.42216186424</v>
      </c>
      <c r="AI116">
        <f>IF(($D116*12)&lt;90,2,3)+IF(入力!$B$2="男",0,3)</f>
        <v>6</v>
      </c>
      <c r="AJ116">
        <f t="shared" si="13"/>
        <v>0.13216006371679995</v>
      </c>
      <c r="AK116">
        <f t="shared" si="10"/>
        <v>13.418252247019035</v>
      </c>
      <c r="AL116">
        <f t="shared" si="15"/>
        <v>14.191416497409262</v>
      </c>
      <c r="AM116">
        <f t="shared" si="15"/>
        <v>15.128199752687239</v>
      </c>
      <c r="AN116">
        <f t="shared" si="15"/>
        <v>16.42216186424</v>
      </c>
      <c r="AO116">
        <f t="shared" si="15"/>
        <v>18.115015607386884</v>
      </c>
      <c r="AP116">
        <f t="shared" si="15"/>
        <v>20.18834209415709</v>
      </c>
      <c r="AQ116">
        <f t="shared" si="15"/>
        <v>23.134810175193749</v>
      </c>
    </row>
    <row r="117" spans="1:43" x14ac:dyDescent="0.15">
      <c r="A117">
        <f t="shared" si="16"/>
        <v>9</v>
      </c>
      <c r="B117" s="2">
        <v>5</v>
      </c>
      <c r="D117" s="3">
        <f t="shared" si="14"/>
        <v>9.4166666666666661</v>
      </c>
      <c r="F117">
        <f>IF(入力!$B$2="男",成長曲線_男!E115,成長曲線_女!E115)</f>
        <v>133</v>
      </c>
      <c r="G117">
        <f>IF(入力!$B$2="男",成長曲線_男!F115,成長曲線_女!F115)</f>
        <v>6.1</v>
      </c>
      <c r="H117">
        <f>IF(入力!$B$2="男",成長曲線_男!G115,成長曲線_女!G115)</f>
        <v>145.19999999999999</v>
      </c>
      <c r="I117">
        <f>IF(入力!$B$2="男",成長曲線_男!H115,成長曲線_女!H115)</f>
        <v>139.1</v>
      </c>
      <c r="J117">
        <f>IF(入力!$B$2="男",成長曲線_男!I115,成長曲線_女!I115)</f>
        <v>126.9</v>
      </c>
      <c r="K117">
        <f>IF(入力!$B$2="男",成長曲線_男!J115,成長曲線_女!J115)</f>
        <v>120.8</v>
      </c>
      <c r="L117">
        <f>IF(入力!$B$2="男",成長曲線_男!K115,成長曲線_女!K115)</f>
        <v>117.75</v>
      </c>
      <c r="M117">
        <f>IF(入力!$B$2="男",成長曲線_男!L115,成長曲線_女!L115)</f>
        <v>114.7</v>
      </c>
      <c r="O117">
        <f>IF(入力!$B$2="男",成長曲線_男!N115,成長曲線_女!N115)</f>
        <v>30.4</v>
      </c>
      <c r="P117">
        <f>IF(入力!$B$2="男",成長曲線_男!O115,成長曲線_女!O115)</f>
        <v>6.31</v>
      </c>
      <c r="Q117">
        <f>IF(入力!$B$2="男",成長曲線_男!P115,成長曲線_女!P115)</f>
        <v>43.019999999999996</v>
      </c>
      <c r="R117">
        <f>IF(入力!$B$2="男",成長曲線_男!Q115,成長曲線_女!Q115)</f>
        <v>36.71</v>
      </c>
      <c r="S117">
        <f>IF(入力!$B$2="男",成長曲線_男!R115,成長曲線_女!R115)</f>
        <v>24.09</v>
      </c>
      <c r="T117">
        <f>IF(入力!$B$2="男",成長曲線_男!S115,成長曲線_女!S115)</f>
        <v>17.78</v>
      </c>
      <c r="AE117">
        <f>IF($D117*12&lt;150,IF($D117*12&lt;IF(入力!$B$2="男",78,69),2,3),4)+IF(入力!$B$2="男",0,4)</f>
        <v>7</v>
      </c>
      <c r="AF117">
        <f t="shared" si="11"/>
        <v>-1.9698532439600038</v>
      </c>
      <c r="AG117">
        <f>IF($D117*12&lt;90,IF($D117*12&lt;26.75,IF($D117*12&lt;9.5,IF($D117*12&lt;2.5,2,3),4),5),6)+IF(入力!$B$2="男",0,6)+IF(AND(入力!$B$2&lt;&gt;"男",$D117*12&gt;=150),1,0)</f>
        <v>12</v>
      </c>
      <c r="AH117">
        <f t="shared" si="12"/>
        <v>16.469683345010001</v>
      </c>
      <c r="AI117">
        <f>IF(($D117*12)&lt;90,2,3)+IF(入力!$B$2="男",0,3)</f>
        <v>6</v>
      </c>
      <c r="AJ117">
        <f t="shared" si="13"/>
        <v>0.13257103144069995</v>
      </c>
      <c r="AK117">
        <f t="shared" si="10"/>
        <v>13.446064923926025</v>
      </c>
      <c r="AL117">
        <f t="shared" si="15"/>
        <v>14.224555518436267</v>
      </c>
      <c r="AM117">
        <f t="shared" si="15"/>
        <v>15.167590481565991</v>
      </c>
      <c r="AN117">
        <f t="shared" si="15"/>
        <v>16.469683345010001</v>
      </c>
      <c r="AO117">
        <f t="shared" si="15"/>
        <v>18.171987048106022</v>
      </c>
      <c r="AP117">
        <f t="shared" si="15"/>
        <v>20.254488659573024</v>
      </c>
      <c r="AQ117">
        <f t="shared" si="15"/>
        <v>23.208132672189613</v>
      </c>
    </row>
    <row r="118" spans="1:43" x14ac:dyDescent="0.15">
      <c r="A118">
        <f t="shared" si="16"/>
        <v>9</v>
      </c>
      <c r="B118" s="2">
        <v>6</v>
      </c>
      <c r="D118" s="3">
        <f t="shared" si="14"/>
        <v>9.5</v>
      </c>
      <c r="F118">
        <f>IF(入力!$B$2="男",成長曲線_男!E116,成長曲線_女!E116)</f>
        <v>133.5</v>
      </c>
      <c r="G118">
        <f>IF(入力!$B$2="男",成長曲線_男!F116,成長曲線_女!F116)</f>
        <v>6.2</v>
      </c>
      <c r="H118">
        <f>IF(入力!$B$2="男",成長曲線_男!G116,成長曲線_女!G116)</f>
        <v>145.9</v>
      </c>
      <c r="I118">
        <f>IF(入力!$B$2="男",成長曲線_男!H116,成長曲線_女!H116)</f>
        <v>139.69999999999999</v>
      </c>
      <c r="J118">
        <f>IF(入力!$B$2="男",成長曲線_男!I116,成長曲線_女!I116)</f>
        <v>127.3</v>
      </c>
      <c r="K118">
        <f>IF(入力!$B$2="男",成長曲線_男!J116,成長曲線_女!J116)</f>
        <v>121.1</v>
      </c>
      <c r="L118">
        <f>IF(入力!$B$2="男",成長曲線_男!K116,成長曲線_女!K116)</f>
        <v>118</v>
      </c>
      <c r="M118">
        <f>IF(入力!$B$2="男",成長曲線_男!L116,成長曲線_女!L116)</f>
        <v>114.9</v>
      </c>
      <c r="O118">
        <f>IF(入力!$B$2="男",成長曲線_男!N116,成長曲線_女!N116)</f>
        <v>30.7</v>
      </c>
      <c r="P118">
        <f>IF(入力!$B$2="男",成長曲線_男!O116,成長曲線_女!O116)</f>
        <v>6.41</v>
      </c>
      <c r="Q118">
        <f>IF(入力!$B$2="男",成長曲線_男!P116,成長曲線_女!P116)</f>
        <v>43.519999999999996</v>
      </c>
      <c r="R118">
        <f>IF(入力!$B$2="男",成長曲線_男!Q116,成長曲線_女!Q116)</f>
        <v>37.11</v>
      </c>
      <c r="S118">
        <f>IF(入力!$B$2="男",成長曲線_男!R116,成長曲線_女!R116)</f>
        <v>24.29</v>
      </c>
      <c r="T118">
        <f>IF(入力!$B$2="男",成長曲線_男!S116,成長曲線_女!S116)</f>
        <v>17.88</v>
      </c>
      <c r="AE118">
        <f>IF($D118*12&lt;150,IF($D118*12&lt;IF(入力!$B$2="男",78,69),2,3),4)+IF(入力!$B$2="男",0,4)</f>
        <v>7</v>
      </c>
      <c r="AF118">
        <f t="shared" si="11"/>
        <v>-1.9527017909200035</v>
      </c>
      <c r="AG118">
        <f>IF($D118*12&lt;90,IF($D118*12&lt;26.75,IF($D118*12&lt;9.5,IF($D118*12&lt;2.5,2,3),4),5),6)+IF(入力!$B$2="男",0,6)+IF(AND(入力!$B$2&lt;&gt;"男",$D118*12&gt;=150),1,0)</f>
        <v>12</v>
      </c>
      <c r="AH118">
        <f t="shared" si="12"/>
        <v>16.51822661752</v>
      </c>
      <c r="AI118">
        <f>IF(($D118*12)&lt;90,2,3)+IF(入力!$B$2="男",0,3)</f>
        <v>6</v>
      </c>
      <c r="AJ118">
        <f t="shared" si="13"/>
        <v>0.13296759410639997</v>
      </c>
      <c r="AK118">
        <f t="shared" si="10"/>
        <v>13.47474813693723</v>
      </c>
      <c r="AL118">
        <f t="shared" si="15"/>
        <v>14.258645720561208</v>
      </c>
      <c r="AM118">
        <f t="shared" si="15"/>
        <v>15.207993528263579</v>
      </c>
      <c r="AN118">
        <f t="shared" si="15"/>
        <v>16.51822661752</v>
      </c>
      <c r="AO118">
        <f t="shared" si="15"/>
        <v>18.22984356322306</v>
      </c>
      <c r="AP118">
        <f t="shared" si="15"/>
        <v>20.321094787198124</v>
      </c>
      <c r="AQ118">
        <f t="shared" si="15"/>
        <v>23.280777709599114</v>
      </c>
    </row>
    <row r="119" spans="1:43" x14ac:dyDescent="0.15">
      <c r="A119">
        <f t="shared" si="16"/>
        <v>9</v>
      </c>
      <c r="B119" s="2">
        <v>7</v>
      </c>
      <c r="D119" s="3">
        <f t="shared" si="14"/>
        <v>9.5833333333333339</v>
      </c>
      <c r="F119">
        <f>IF(入力!$B$2="男",成長曲線_男!E117,成長曲線_女!E117)</f>
        <v>134.1</v>
      </c>
      <c r="G119">
        <f>IF(入力!$B$2="男",成長曲線_男!F117,成長曲線_女!F117)</f>
        <v>6.2</v>
      </c>
      <c r="H119">
        <f>IF(入力!$B$2="男",成長曲線_男!G117,成長曲線_女!G117)</f>
        <v>146.5</v>
      </c>
      <c r="I119">
        <f>IF(入力!$B$2="男",成長曲線_男!H117,成長曲線_女!H117)</f>
        <v>140.29999999999998</v>
      </c>
      <c r="J119">
        <f>IF(入力!$B$2="男",成長曲線_男!I117,成長曲線_女!I117)</f>
        <v>127.89999999999999</v>
      </c>
      <c r="K119">
        <f>IF(入力!$B$2="男",成長曲線_男!J117,成長曲線_女!J117)</f>
        <v>121.69999999999999</v>
      </c>
      <c r="L119">
        <f>IF(入力!$B$2="男",成長曲線_男!K117,成長曲線_女!K117)</f>
        <v>118.6</v>
      </c>
      <c r="M119">
        <f>IF(入力!$B$2="男",成長曲線_男!L117,成長曲線_女!L117)</f>
        <v>115.5</v>
      </c>
      <c r="O119">
        <f>IF(入力!$B$2="男",成長曲線_男!N117,成長曲線_女!N117)</f>
        <v>31.1</v>
      </c>
      <c r="P119">
        <f>IF(入力!$B$2="男",成長曲線_男!O117,成長曲線_女!O117)</f>
        <v>6.5</v>
      </c>
      <c r="Q119">
        <f>IF(入力!$B$2="男",成長曲線_男!P117,成長曲線_女!P117)</f>
        <v>44.1</v>
      </c>
      <c r="R119">
        <f>IF(入力!$B$2="男",成長曲線_男!Q117,成長曲線_女!Q117)</f>
        <v>37.6</v>
      </c>
      <c r="S119">
        <f>IF(入力!$B$2="男",成長曲線_男!R117,成長曲線_女!R117)</f>
        <v>24.6</v>
      </c>
      <c r="T119">
        <f>IF(入力!$B$2="男",成長曲線_男!S117,成長曲線_女!S117)</f>
        <v>18.100000000000001</v>
      </c>
      <c r="AE119">
        <f>IF($D119*12&lt;150,IF($D119*12&lt;IF(入力!$B$2="男",78,69),2,3),4)+IF(入力!$B$2="男",0,4)</f>
        <v>7</v>
      </c>
      <c r="AF119">
        <f t="shared" si="11"/>
        <v>-1.9351536609999984</v>
      </c>
      <c r="AG119">
        <f>IF($D119*12&lt;90,IF($D119*12&lt;26.75,IF($D119*12&lt;9.5,IF($D119*12&lt;2.5,2,3),4),5),6)+IF(入力!$B$2="男",0,6)+IF(AND(入力!$B$2&lt;&gt;"男",$D119*12&gt;=150),1,0)</f>
        <v>12</v>
      </c>
      <c r="AH119">
        <f t="shared" si="12"/>
        <v>16.567773443749999</v>
      </c>
      <c r="AI119">
        <f>IF(($D119*12)&lt;90,2,3)+IF(入力!$B$2="男",0,3)</f>
        <v>6</v>
      </c>
      <c r="AJ119">
        <f t="shared" si="13"/>
        <v>0.13334987821249991</v>
      </c>
      <c r="AK119">
        <f t="shared" ref="AK119:AK182" si="17">$AH119*(1+$AF119*$AJ119*AK$3)^(1/$AF119)</f>
        <v>13.504290333433145</v>
      </c>
      <c r="AL119">
        <f t="shared" si="15"/>
        <v>14.293673134401214</v>
      </c>
      <c r="AM119">
        <f t="shared" si="15"/>
        <v>15.249392514423368</v>
      </c>
      <c r="AN119">
        <f t="shared" si="15"/>
        <v>16.567773443749999</v>
      </c>
      <c r="AO119">
        <f t="shared" si="15"/>
        <v>18.288568710760593</v>
      </c>
      <c r="AP119">
        <f t="shared" si="15"/>
        <v>20.38815720580391</v>
      </c>
      <c r="AQ119">
        <f t="shared" si="15"/>
        <v>23.352796382850464</v>
      </c>
    </row>
    <row r="120" spans="1:43" x14ac:dyDescent="0.15">
      <c r="A120">
        <f t="shared" si="16"/>
        <v>9</v>
      </c>
      <c r="B120" s="2">
        <v>8</v>
      </c>
      <c r="D120" s="3">
        <f t="shared" si="14"/>
        <v>9.6666666666666661</v>
      </c>
      <c r="F120">
        <f>IF(入力!$B$2="男",成長曲線_男!E118,成長曲線_女!E118)</f>
        <v>134.6</v>
      </c>
      <c r="G120">
        <f>IF(入力!$B$2="男",成長曲線_男!F118,成長曲線_女!F118)</f>
        <v>6.3</v>
      </c>
      <c r="H120">
        <f>IF(入力!$B$2="男",成長曲線_男!G118,成長曲線_女!G118)</f>
        <v>147.19999999999999</v>
      </c>
      <c r="I120">
        <f>IF(入力!$B$2="男",成長曲線_男!H118,成長曲線_女!H118)</f>
        <v>140.9</v>
      </c>
      <c r="J120">
        <f>IF(入力!$B$2="男",成長曲線_男!I118,成長曲線_女!I118)</f>
        <v>128.29999999999998</v>
      </c>
      <c r="K120">
        <f>IF(入力!$B$2="男",成長曲線_男!J118,成長曲線_女!J118)</f>
        <v>122</v>
      </c>
      <c r="L120">
        <f>IF(入力!$B$2="男",成長曲線_男!K118,成長曲線_女!K118)</f>
        <v>118.85</v>
      </c>
      <c r="M120">
        <f>IF(入力!$B$2="男",成長曲線_男!L118,成長曲線_女!L118)</f>
        <v>115.69999999999999</v>
      </c>
      <c r="O120">
        <f>IF(入力!$B$2="男",成長曲線_男!N118,成長曲線_女!N118)</f>
        <v>31.4</v>
      </c>
      <c r="P120">
        <f>IF(入力!$B$2="男",成長曲線_男!O118,成長曲線_女!O118)</f>
        <v>6.59</v>
      </c>
      <c r="Q120">
        <f>IF(入力!$B$2="男",成長曲線_男!P118,成長曲線_女!P118)</f>
        <v>44.58</v>
      </c>
      <c r="R120">
        <f>IF(入力!$B$2="男",成長曲線_男!Q118,成長曲線_女!Q118)</f>
        <v>37.989999999999995</v>
      </c>
      <c r="S120">
        <f>IF(入力!$B$2="男",成長曲線_男!R118,成長曲線_女!R118)</f>
        <v>24.81</v>
      </c>
      <c r="T120">
        <f>IF(入力!$B$2="男",成長曲線_男!S118,成長曲線_女!S118)</f>
        <v>18.22</v>
      </c>
      <c r="AE120">
        <f>IF($D120*12&lt;150,IF($D120*12&lt;IF(入力!$B$2="男",78,69),2,3),4)+IF(入力!$B$2="男",0,4)</f>
        <v>7</v>
      </c>
      <c r="AF120">
        <f t="shared" si="11"/>
        <v>-1.9172438802800018</v>
      </c>
      <c r="AG120">
        <f>IF($D120*12&lt;90,IF($D120*12&lt;26.75,IF($D120*12&lt;9.5,IF($D120*12&lt;2.5,2,3),4),5),6)+IF(入力!$B$2="男",0,6)+IF(AND(入力!$B$2&lt;&gt;"男",$D120*12&gt;=150),1,0)</f>
        <v>12</v>
      </c>
      <c r="AH120">
        <f t="shared" si="12"/>
        <v>16.618305585680002</v>
      </c>
      <c r="AI120">
        <f>IF(($D120*12)&lt;90,2,3)+IF(入力!$B$2="男",0,3)</f>
        <v>6</v>
      </c>
      <c r="AJ120">
        <f t="shared" si="13"/>
        <v>0.13371801025759994</v>
      </c>
      <c r="AK120">
        <f t="shared" si="17"/>
        <v>13.534680442618471</v>
      </c>
      <c r="AL120">
        <f t="shared" si="15"/>
        <v>14.329624097080099</v>
      </c>
      <c r="AM120">
        <f t="shared" si="15"/>
        <v>15.291771194227183</v>
      </c>
      <c r="AN120">
        <f t="shared" si="15"/>
        <v>16.618305585680002</v>
      </c>
      <c r="AO120">
        <f t="shared" si="15"/>
        <v>18.348146149469809</v>
      </c>
      <c r="AP120">
        <f t="shared" si="15"/>
        <v>20.45567341954775</v>
      </c>
      <c r="AQ120">
        <f t="shared" si="15"/>
        <v>23.424242554425593</v>
      </c>
    </row>
    <row r="121" spans="1:43" x14ac:dyDescent="0.15">
      <c r="A121">
        <f t="shared" si="16"/>
        <v>9</v>
      </c>
      <c r="B121" s="2">
        <v>9</v>
      </c>
      <c r="D121" s="3">
        <f t="shared" si="14"/>
        <v>9.75</v>
      </c>
      <c r="F121">
        <f>IF(入力!$B$2="男",成長曲線_男!E119,成長曲線_女!E119)</f>
        <v>135.19999999999999</v>
      </c>
      <c r="G121">
        <f>IF(入力!$B$2="男",成長曲線_男!F119,成長曲線_女!F119)</f>
        <v>6.3</v>
      </c>
      <c r="H121">
        <f>IF(入力!$B$2="男",成長曲線_男!G119,成長曲線_女!G119)</f>
        <v>147.79999999999998</v>
      </c>
      <c r="I121">
        <f>IF(入力!$B$2="男",成長曲線_男!H119,成長曲線_女!H119)</f>
        <v>141.5</v>
      </c>
      <c r="J121">
        <f>IF(入力!$B$2="男",成長曲線_男!I119,成長曲線_女!I119)</f>
        <v>128.89999999999998</v>
      </c>
      <c r="K121">
        <f>IF(入力!$B$2="男",成長曲線_男!J119,成長曲線_女!J119)</f>
        <v>122.6</v>
      </c>
      <c r="L121">
        <f>IF(入力!$B$2="男",成長曲線_男!K119,成長曲線_女!K119)</f>
        <v>119.44999999999999</v>
      </c>
      <c r="M121">
        <f>IF(入力!$B$2="男",成長曲線_男!L119,成長曲線_女!L119)</f>
        <v>116.29999999999998</v>
      </c>
      <c r="O121">
        <f>IF(入力!$B$2="男",成長曲線_男!N119,成長曲線_女!N119)</f>
        <v>31.8</v>
      </c>
      <c r="P121">
        <f>IF(入力!$B$2="男",成長曲線_男!O119,成長曲線_女!O119)</f>
        <v>6.69</v>
      </c>
      <c r="Q121">
        <f>IF(入力!$B$2="男",成長曲線_男!P119,成長曲線_女!P119)</f>
        <v>45.18</v>
      </c>
      <c r="R121">
        <f>IF(入力!$B$2="男",成長曲線_男!Q119,成長曲線_女!Q119)</f>
        <v>38.49</v>
      </c>
      <c r="S121">
        <f>IF(入力!$B$2="男",成長曲線_男!R119,成長曲線_女!R119)</f>
        <v>25.11</v>
      </c>
      <c r="T121">
        <f>IF(入力!$B$2="男",成長曲線_男!S119,成長曲線_女!S119)</f>
        <v>18.420000000000002</v>
      </c>
      <c r="AE121">
        <f>IF($D121*12&lt;150,IF($D121*12&lt;IF(入力!$B$2="男",78,69),2,3),4)+IF(入力!$B$2="男",0,4)</f>
        <v>7</v>
      </c>
      <c r="AF121">
        <f t="shared" si="11"/>
        <v>-1.8990074748400021</v>
      </c>
      <c r="AG121">
        <f>IF($D121*12&lt;90,IF($D121*12&lt;26.75,IF($D121*12&lt;9.5,IF($D121*12&lt;2.5,2,3),4),5),6)+IF(入力!$B$2="男",0,6)+IF(AND(入力!$B$2&lt;&gt;"男",$D121*12&gt;=150),1,0)</f>
        <v>12</v>
      </c>
      <c r="AH121">
        <f t="shared" si="12"/>
        <v>16.669804805290003</v>
      </c>
      <c r="AI121">
        <f>IF(($D121*12)&lt;90,2,3)+IF(入力!$B$2="男",0,3)</f>
        <v>6</v>
      </c>
      <c r="AJ121">
        <f t="shared" si="13"/>
        <v>0.13407211674029995</v>
      </c>
      <c r="AK121">
        <f t="shared" si="17"/>
        <v>13.56590787955056</v>
      </c>
      <c r="AL121">
        <f t="shared" si="15"/>
        <v>14.366485251575698</v>
      </c>
      <c r="AM121">
        <f t="shared" si="15"/>
        <v>15.335113452261927</v>
      </c>
      <c r="AN121">
        <f t="shared" si="15"/>
        <v>16.669804805290003</v>
      </c>
      <c r="AO121">
        <f t="shared" si="15"/>
        <v>18.408559634155335</v>
      </c>
      <c r="AP121">
        <f t="shared" si="15"/>
        <v>20.523641635459203</v>
      </c>
      <c r="AQ121">
        <f t="shared" si="15"/>
        <v>23.495172362882371</v>
      </c>
    </row>
    <row r="122" spans="1:43" x14ac:dyDescent="0.15">
      <c r="A122">
        <f t="shared" si="16"/>
        <v>9</v>
      </c>
      <c r="B122" s="2">
        <v>10</v>
      </c>
      <c r="D122" s="3">
        <f t="shared" si="14"/>
        <v>9.8333333333333339</v>
      </c>
      <c r="F122">
        <f>IF(入力!$B$2="男",成長曲線_男!E120,成長曲線_女!E120)</f>
        <v>135.80000000000001</v>
      </c>
      <c r="G122">
        <f>IF(入力!$B$2="男",成長曲線_男!F120,成長曲線_女!F120)</f>
        <v>6.4</v>
      </c>
      <c r="H122">
        <f>IF(入力!$B$2="男",成長曲線_男!G120,成長曲線_女!G120)</f>
        <v>148.60000000000002</v>
      </c>
      <c r="I122">
        <f>IF(入力!$B$2="男",成長曲線_男!H120,成長曲線_女!H120)</f>
        <v>142.20000000000002</v>
      </c>
      <c r="J122">
        <f>IF(入力!$B$2="男",成長曲線_男!I120,成長曲線_女!I120)</f>
        <v>129.4</v>
      </c>
      <c r="K122">
        <f>IF(入力!$B$2="男",成長曲線_男!J120,成長曲線_女!J120)</f>
        <v>123.00000000000001</v>
      </c>
      <c r="L122">
        <f>IF(入力!$B$2="男",成長曲線_男!K120,成長曲線_女!K120)</f>
        <v>119.80000000000001</v>
      </c>
      <c r="M122">
        <f>IF(入力!$B$2="男",成長曲線_男!L120,成長曲線_女!L120)</f>
        <v>116.60000000000001</v>
      </c>
      <c r="O122">
        <f>IF(入力!$B$2="男",成長曲線_男!N120,成長曲線_女!N120)</f>
        <v>32.1</v>
      </c>
      <c r="P122">
        <f>IF(入力!$B$2="男",成長曲線_男!O120,成長曲線_女!O120)</f>
        <v>6.78</v>
      </c>
      <c r="Q122">
        <f>IF(入力!$B$2="男",成長曲線_男!P120,成長曲線_女!P120)</f>
        <v>45.660000000000004</v>
      </c>
      <c r="R122">
        <f>IF(入力!$B$2="男",成長曲線_男!Q120,成長曲線_女!Q120)</f>
        <v>38.880000000000003</v>
      </c>
      <c r="S122">
        <f>IF(入力!$B$2="男",成長曲線_男!R120,成長曲線_女!R120)</f>
        <v>25.32</v>
      </c>
      <c r="T122">
        <f>IF(入力!$B$2="男",成長曲線_男!S120,成長曲線_女!S120)</f>
        <v>18.54</v>
      </c>
      <c r="AE122">
        <f>IF($D122*12&lt;150,IF($D122*12&lt;IF(入力!$B$2="男",78,69),2,3),4)+IF(入力!$B$2="男",0,4)</f>
        <v>7</v>
      </c>
      <c r="AF122">
        <f t="shared" si="11"/>
        <v>-1.8804794707599983</v>
      </c>
      <c r="AG122">
        <f>IF($D122*12&lt;90,IF($D122*12&lt;26.75,IF($D122*12&lt;9.5,IF($D122*12&lt;2.5,2,3),4),5),6)+IF(入力!$B$2="男",0,6)+IF(AND(入力!$B$2&lt;&gt;"男",$D122*12&gt;=150),1,0)</f>
        <v>12</v>
      </c>
      <c r="AH122">
        <f t="shared" si="12"/>
        <v>16.722252864560001</v>
      </c>
      <c r="AI122">
        <f>IF(($D122*12)&lt;90,2,3)+IF(入力!$B$2="男",0,3)</f>
        <v>6</v>
      </c>
      <c r="AJ122">
        <f t="shared" si="13"/>
        <v>0.13441232415919996</v>
      </c>
      <c r="AK122">
        <f t="shared" si="17"/>
        <v>13.597962549148903</v>
      </c>
      <c r="AL122">
        <f t="shared" si="15"/>
        <v>14.404243546021085</v>
      </c>
      <c r="AM122">
        <f t="shared" si="15"/>
        <v>15.379403301365237</v>
      </c>
      <c r="AN122">
        <f t="shared" si="15"/>
        <v>16.722252864560001</v>
      </c>
      <c r="AO122">
        <f t="shared" si="15"/>
        <v>18.469793010912309</v>
      </c>
      <c r="AP122">
        <f t="shared" si="15"/>
        <v>20.592060691997027</v>
      </c>
      <c r="AQ122">
        <f t="shared" si="15"/>
        <v>23.565643753661316</v>
      </c>
    </row>
    <row r="123" spans="1:43" x14ac:dyDescent="0.15">
      <c r="A123">
        <f t="shared" si="16"/>
        <v>9</v>
      </c>
      <c r="B123" s="2">
        <v>11</v>
      </c>
      <c r="D123" s="3">
        <f t="shared" si="14"/>
        <v>9.9166666666666661</v>
      </c>
      <c r="F123">
        <f>IF(入力!$B$2="男",成長曲線_男!E121,成長曲線_女!E121)</f>
        <v>136.30000000000001</v>
      </c>
      <c r="G123">
        <f>IF(入力!$B$2="男",成長曲線_男!F121,成長曲線_女!F121)</f>
        <v>6.4</v>
      </c>
      <c r="H123">
        <f>IF(入力!$B$2="男",成長曲線_男!G121,成長曲線_女!G121)</f>
        <v>149.10000000000002</v>
      </c>
      <c r="I123">
        <f>IF(入力!$B$2="男",成長曲線_男!H121,成長曲線_女!H121)</f>
        <v>142.70000000000002</v>
      </c>
      <c r="J123">
        <f>IF(入力!$B$2="男",成長曲線_男!I121,成長曲線_女!I121)</f>
        <v>129.9</v>
      </c>
      <c r="K123">
        <f>IF(入力!$B$2="男",成長曲線_男!J121,成長曲線_女!J121)</f>
        <v>123.50000000000001</v>
      </c>
      <c r="L123">
        <f>IF(入力!$B$2="男",成長曲線_男!K121,成長曲線_女!K121)</f>
        <v>120.30000000000001</v>
      </c>
      <c r="M123">
        <f>IF(入力!$B$2="男",成長曲線_男!L121,成長曲線_女!L121)</f>
        <v>117.10000000000001</v>
      </c>
      <c r="O123">
        <f>IF(入力!$B$2="男",成長曲線_男!N121,成長曲線_女!N121)</f>
        <v>32.5</v>
      </c>
      <c r="P123">
        <f>IF(入力!$B$2="男",成長曲線_男!O121,成長曲線_女!O121)</f>
        <v>6.87</v>
      </c>
      <c r="Q123">
        <f>IF(入力!$B$2="男",成長曲線_男!P121,成長曲線_女!P121)</f>
        <v>46.24</v>
      </c>
      <c r="R123">
        <f>IF(入力!$B$2="男",成長曲線_男!Q121,成長曲線_女!Q121)</f>
        <v>39.369999999999997</v>
      </c>
      <c r="S123">
        <f>IF(入力!$B$2="男",成長曲線_男!R121,成長曲線_女!R121)</f>
        <v>25.63</v>
      </c>
      <c r="T123">
        <f>IF(入力!$B$2="男",成長曲線_男!S121,成長曲線_女!S121)</f>
        <v>18.759999999999998</v>
      </c>
      <c r="AE123">
        <f>IF($D123*12&lt;150,IF($D123*12&lt;IF(入力!$B$2="男",78,69),2,3),4)+IF(入力!$B$2="男",0,4)</f>
        <v>7</v>
      </c>
      <c r="AF123">
        <f t="shared" si="11"/>
        <v>-1.8616948941200002</v>
      </c>
      <c r="AG123">
        <f>IF($D123*12&lt;90,IF($D123*12&lt;26.75,IF($D123*12&lt;9.5,IF($D123*12&lt;2.5,2,3),4),5),6)+IF(入力!$B$2="男",0,6)+IF(AND(入力!$B$2&lt;&gt;"男",$D123*12&gt;=150),1,0)</f>
        <v>12</v>
      </c>
      <c r="AH123">
        <f t="shared" si="12"/>
        <v>16.775631525470001</v>
      </c>
      <c r="AI123">
        <f>IF(($D123*12)&lt;90,2,3)+IF(入力!$B$2="男",0,3)</f>
        <v>6</v>
      </c>
      <c r="AJ123">
        <f t="shared" si="13"/>
        <v>0.13473875901289992</v>
      </c>
      <c r="AK123">
        <f t="shared" si="17"/>
        <v>13.630834850106549</v>
      </c>
      <c r="AL123">
        <f t="shared" si="15"/>
        <v>14.442886232919152</v>
      </c>
      <c r="AM123">
        <f t="shared" si="15"/>
        <v>15.424624880439472</v>
      </c>
      <c r="AN123">
        <f t="shared" si="15"/>
        <v>16.775631525470001</v>
      </c>
      <c r="AO123">
        <f t="shared" si="15"/>
        <v>18.531830212306353</v>
      </c>
      <c r="AP123">
        <f t="shared" si="15"/>
        <v>20.660929989165272</v>
      </c>
      <c r="AQ123">
        <f t="shared" si="15"/>
        <v>23.63571603526151</v>
      </c>
    </row>
    <row r="124" spans="1:43" x14ac:dyDescent="0.15">
      <c r="A124">
        <f t="shared" si="16"/>
        <v>10</v>
      </c>
      <c r="B124" s="2">
        <v>0</v>
      </c>
      <c r="D124" s="3">
        <f t="shared" si="14"/>
        <v>10</v>
      </c>
      <c r="F124">
        <f>IF(入力!$B$2="男",成長曲線_男!E122,成長曲線_女!E122)</f>
        <v>136.9</v>
      </c>
      <c r="G124">
        <f>IF(入力!$B$2="男",成長曲線_男!F122,成長曲線_女!F122)</f>
        <v>6.5</v>
      </c>
      <c r="H124">
        <f>IF(入力!$B$2="男",成長曲線_男!G122,成長曲線_女!G122)</f>
        <v>149.9</v>
      </c>
      <c r="I124">
        <f>IF(入力!$B$2="男",成長曲線_男!H122,成長曲線_女!H122)</f>
        <v>143.4</v>
      </c>
      <c r="J124">
        <f>IF(入力!$B$2="男",成長曲線_男!I122,成長曲線_女!I122)</f>
        <v>130.4</v>
      </c>
      <c r="K124">
        <f>IF(入力!$B$2="男",成長曲線_男!J122,成長曲線_女!J122)</f>
        <v>123.9</v>
      </c>
      <c r="L124">
        <f>IF(入力!$B$2="男",成長曲線_男!K122,成長曲線_女!K122)</f>
        <v>120.65</v>
      </c>
      <c r="M124">
        <f>IF(入力!$B$2="男",成長曲線_男!L122,成長曲線_女!L122)</f>
        <v>117.4</v>
      </c>
      <c r="O124">
        <f>IF(入力!$B$2="男",成長曲線_男!N122,成長曲線_女!N122)</f>
        <v>32.799999999999997</v>
      </c>
      <c r="P124">
        <f>IF(入力!$B$2="男",成長曲線_男!O122,成長曲線_女!O122)</f>
        <v>6.96</v>
      </c>
      <c r="Q124">
        <f>IF(入力!$B$2="男",成長曲線_男!P122,成長曲線_女!P122)</f>
        <v>46.72</v>
      </c>
      <c r="R124">
        <f>IF(入力!$B$2="男",成長曲線_男!Q122,成長曲線_女!Q122)</f>
        <v>39.76</v>
      </c>
      <c r="S124">
        <f>IF(入力!$B$2="男",成長曲線_男!R122,成長曲線_女!R122)</f>
        <v>25.839999999999996</v>
      </c>
      <c r="T124">
        <f>IF(入力!$B$2="男",成長曲線_男!S122,成長曲線_女!S122)</f>
        <v>18.879999999999995</v>
      </c>
      <c r="AE124">
        <f>IF($D124*12&lt;150,IF($D124*12&lt;IF(入力!$B$2="男",78,69),2,3),4)+IF(入力!$B$2="男",0,4)</f>
        <v>7</v>
      </c>
      <c r="AF124">
        <f t="shared" si="11"/>
        <v>-1.8426887710000033</v>
      </c>
      <c r="AG124">
        <f>IF($D124*12&lt;90,IF($D124*12&lt;26.75,IF($D124*12&lt;9.5,IF($D124*12&lt;2.5,2,3),4),5),6)+IF(入力!$B$2="男",0,6)+IF(AND(入力!$B$2&lt;&gt;"男",$D124*12&gt;=150),1,0)</f>
        <v>12</v>
      </c>
      <c r="AH124">
        <f t="shared" si="12"/>
        <v>16.829922549999999</v>
      </c>
      <c r="AI124">
        <f>IF(($D124*12)&lt;90,2,3)+IF(入力!$B$2="男",0,3)</f>
        <v>6</v>
      </c>
      <c r="AJ124">
        <f t="shared" si="13"/>
        <v>0.13505154779999992</v>
      </c>
      <c r="AK124">
        <f t="shared" si="17"/>
        <v>13.664515678621935</v>
      </c>
      <c r="AL124">
        <f t="shared" si="15"/>
        <v>14.482400868229588</v>
      </c>
      <c r="AM124">
        <f t="shared" si="15"/>
        <v>15.470762452223729</v>
      </c>
      <c r="AN124">
        <f t="shared" si="15"/>
        <v>16.829922549999999</v>
      </c>
      <c r="AO124">
        <f t="shared" si="15"/>
        <v>18.594655252525875</v>
      </c>
      <c r="AP124">
        <f t="shared" si="15"/>
        <v>20.730249420625604</v>
      </c>
      <c r="AQ124">
        <f t="shared" si="15"/>
        <v>23.705449463624678</v>
      </c>
    </row>
    <row r="125" spans="1:43" x14ac:dyDescent="0.15">
      <c r="A125">
        <f t="shared" si="16"/>
        <v>10</v>
      </c>
      <c r="B125" s="2">
        <v>1</v>
      </c>
      <c r="D125" s="3">
        <f t="shared" si="14"/>
        <v>10.083333333333334</v>
      </c>
      <c r="F125">
        <f>IF(入力!$B$2="男",成長曲線_男!E123,成長曲線_女!E123)</f>
        <v>137.5</v>
      </c>
      <c r="G125">
        <f>IF(入力!$B$2="男",成長曲線_男!F123,成長曲線_女!F123)</f>
        <v>6.5</v>
      </c>
      <c r="H125">
        <f>IF(入力!$B$2="男",成長曲線_男!G123,成長曲線_女!G123)</f>
        <v>150.5</v>
      </c>
      <c r="I125">
        <f>IF(入力!$B$2="男",成長曲線_男!H123,成長曲線_女!H123)</f>
        <v>144</v>
      </c>
      <c r="J125">
        <f>IF(入力!$B$2="男",成長曲線_男!I123,成長曲線_女!I123)</f>
        <v>131</v>
      </c>
      <c r="K125">
        <f>IF(入力!$B$2="男",成長曲線_男!J123,成長曲線_女!J123)</f>
        <v>124.5</v>
      </c>
      <c r="L125">
        <f>IF(入力!$B$2="男",成長曲線_男!K123,成長曲線_女!K123)</f>
        <v>121.25</v>
      </c>
      <c r="M125">
        <f>IF(入力!$B$2="男",成長曲線_男!L123,成長曲線_女!L123)</f>
        <v>118</v>
      </c>
      <c r="O125">
        <f>IF(入力!$B$2="男",成長曲線_男!N123,成長曲線_女!N123)</f>
        <v>33.200000000000003</v>
      </c>
      <c r="P125">
        <f>IF(入力!$B$2="男",成長曲線_男!O123,成長曲線_女!O123)</f>
        <v>7.05</v>
      </c>
      <c r="Q125">
        <f>IF(入力!$B$2="男",成長曲線_男!P123,成長曲線_女!P123)</f>
        <v>47.300000000000004</v>
      </c>
      <c r="R125">
        <f>IF(入力!$B$2="男",成長曲線_男!Q123,成長曲線_女!Q123)</f>
        <v>40.25</v>
      </c>
      <c r="S125">
        <f>IF(入力!$B$2="男",成長曲線_男!R123,成長曲線_女!R123)</f>
        <v>26.150000000000002</v>
      </c>
      <c r="T125">
        <f>IF(入力!$B$2="男",成長曲線_男!S123,成長曲線_女!S123)</f>
        <v>19.100000000000001</v>
      </c>
      <c r="AE125">
        <f>IF($D125*12&lt;150,IF($D125*12&lt;IF(入力!$B$2="男",78,69),2,3),4)+IF(入力!$B$2="男",0,4)</f>
        <v>7</v>
      </c>
      <c r="AF125">
        <f t="shared" si="11"/>
        <v>-1.8234961274799959</v>
      </c>
      <c r="AG125">
        <f>IF($D125*12&lt;90,IF($D125*12&lt;26.75,IF($D125*12&lt;9.5,IF($D125*12&lt;2.5,2,3),4),5),6)+IF(入力!$B$2="男",0,6)+IF(AND(入力!$B$2&lt;&gt;"男",$D125*12&gt;=150),1,0)</f>
        <v>12</v>
      </c>
      <c r="AH125">
        <f t="shared" si="12"/>
        <v>16.88510770013</v>
      </c>
      <c r="AI125">
        <f>IF(($D125*12)&lt;90,2,3)+IF(入力!$B$2="男",0,3)</f>
        <v>6</v>
      </c>
      <c r="AJ125">
        <f t="shared" si="13"/>
        <v>0.13535081701909996</v>
      </c>
      <c r="AK125">
        <f t="shared" si="17"/>
        <v>13.698996431867087</v>
      </c>
      <c r="AL125">
        <f t="shared" si="15"/>
        <v>14.522775310286669</v>
      </c>
      <c r="AM125">
        <f t="shared" si="15"/>
        <v>15.517800401013575</v>
      </c>
      <c r="AN125">
        <f t="shared" si="15"/>
        <v>16.88510770013</v>
      </c>
      <c r="AO125">
        <f t="shared" si="15"/>
        <v>18.658252222534351</v>
      </c>
      <c r="AP125">
        <f t="shared" si="15"/>
        <v>20.800019308190887</v>
      </c>
      <c r="AQ125">
        <f t="shared" si="15"/>
        <v>23.774904856855752</v>
      </c>
    </row>
    <row r="126" spans="1:43" x14ac:dyDescent="0.15">
      <c r="A126">
        <f t="shared" si="16"/>
        <v>10</v>
      </c>
      <c r="B126" s="2">
        <v>2</v>
      </c>
      <c r="D126" s="3">
        <f t="shared" si="14"/>
        <v>10.166666666666666</v>
      </c>
      <c r="F126">
        <f>IF(入力!$B$2="男",成長曲線_男!E124,成長曲線_女!E124)</f>
        <v>138</v>
      </c>
      <c r="G126">
        <f>IF(入力!$B$2="男",成長曲線_男!F124,成長曲線_女!F124)</f>
        <v>6.6</v>
      </c>
      <c r="H126">
        <f>IF(入力!$B$2="男",成長曲線_男!G124,成長曲線_女!G124)</f>
        <v>151.19999999999999</v>
      </c>
      <c r="I126">
        <f>IF(入力!$B$2="男",成長曲線_男!H124,成長曲線_女!H124)</f>
        <v>144.6</v>
      </c>
      <c r="J126">
        <f>IF(入力!$B$2="男",成長曲線_男!I124,成長曲線_女!I124)</f>
        <v>131.4</v>
      </c>
      <c r="K126">
        <f>IF(入力!$B$2="男",成長曲線_男!J124,成長曲線_女!J124)</f>
        <v>124.8</v>
      </c>
      <c r="L126">
        <f>IF(入力!$B$2="男",成長曲線_男!K124,成長曲線_女!K124)</f>
        <v>121.5</v>
      </c>
      <c r="M126">
        <f>IF(入力!$B$2="男",成長曲線_男!L124,成長曲線_女!L124)</f>
        <v>118.2</v>
      </c>
      <c r="O126">
        <f>IF(入力!$B$2="男",成長曲線_男!N124,成長曲線_女!N124)</f>
        <v>33.5</v>
      </c>
      <c r="P126">
        <f>IF(入力!$B$2="男",成長曲線_男!O124,成長曲線_女!O124)</f>
        <v>7.14</v>
      </c>
      <c r="Q126">
        <f>IF(入力!$B$2="男",成長曲線_男!P124,成長曲線_女!P124)</f>
        <v>47.78</v>
      </c>
      <c r="R126">
        <f>IF(入力!$B$2="男",成長曲線_男!Q124,成長曲線_女!Q124)</f>
        <v>40.64</v>
      </c>
      <c r="S126">
        <f>IF(入力!$B$2="男",成長曲線_男!R124,成長曲線_女!R124)</f>
        <v>26.36</v>
      </c>
      <c r="T126">
        <f>IF(入力!$B$2="男",成長曲線_男!S124,成長曲線_女!S124)</f>
        <v>19.22</v>
      </c>
      <c r="AE126">
        <f>IF($D126*12&lt;150,IF($D126*12&lt;IF(入力!$B$2="男",78,69),2,3),4)+IF(入力!$B$2="男",0,4)</f>
        <v>7</v>
      </c>
      <c r="AF126">
        <f t="shared" si="11"/>
        <v>-1.804151989640002</v>
      </c>
      <c r="AG126">
        <f>IF($D126*12&lt;90,IF($D126*12&lt;26.75,IF($D126*12&lt;9.5,IF($D126*12&lt;2.5,2,3),4),5),6)+IF(入力!$B$2="男",0,6)+IF(AND(入力!$B$2&lt;&gt;"男",$D126*12&gt;=150),1,0)</f>
        <v>12</v>
      </c>
      <c r="AH126">
        <f t="shared" si="12"/>
        <v>16.941168737840002</v>
      </c>
      <c r="AI126">
        <f>IF(($D126*12)&lt;90,2,3)+IF(入力!$B$2="男",0,3)</f>
        <v>6</v>
      </c>
      <c r="AJ126">
        <f t="shared" si="13"/>
        <v>0.13563669316879995</v>
      </c>
      <c r="AK126">
        <f t="shared" si="17"/>
        <v>13.734269011105397</v>
      </c>
      <c r="AL126">
        <f t="shared" si="15"/>
        <v>14.563997718505826</v>
      </c>
      <c r="AM126">
        <f t="shared" si="15"/>
        <v>15.56572323031828</v>
      </c>
      <c r="AN126">
        <f t="shared" si="15"/>
        <v>16.941168737840002</v>
      </c>
      <c r="AO126">
        <f t="shared" si="15"/>
        <v>18.722605285248751</v>
      </c>
      <c r="AP126">
        <f t="shared" si="15"/>
        <v>20.870240339033231</v>
      </c>
      <c r="AQ126">
        <f t="shared" si="15"/>
        <v>23.844143241744419</v>
      </c>
    </row>
    <row r="127" spans="1:43" x14ac:dyDescent="0.15">
      <c r="A127">
        <f t="shared" si="16"/>
        <v>10</v>
      </c>
      <c r="B127" s="2">
        <v>3</v>
      </c>
      <c r="D127" s="3">
        <f t="shared" si="14"/>
        <v>10.25</v>
      </c>
      <c r="F127">
        <f>IF(入力!$B$2="男",成長曲線_男!E125,成長曲線_女!E125)</f>
        <v>138.6</v>
      </c>
      <c r="G127">
        <f>IF(入力!$B$2="男",成長曲線_男!F125,成長曲線_女!F125)</f>
        <v>6.6</v>
      </c>
      <c r="H127">
        <f>IF(入力!$B$2="男",成長曲線_男!G125,成長曲線_女!G125)</f>
        <v>151.79999999999998</v>
      </c>
      <c r="I127">
        <f>IF(入力!$B$2="男",成長曲線_男!H125,成長曲線_女!H125)</f>
        <v>145.19999999999999</v>
      </c>
      <c r="J127">
        <f>IF(入力!$B$2="男",成長曲線_男!I125,成長曲線_女!I125)</f>
        <v>132</v>
      </c>
      <c r="K127">
        <f>IF(入力!$B$2="男",成長曲線_男!J125,成長曲線_女!J125)</f>
        <v>125.39999999999999</v>
      </c>
      <c r="L127">
        <f>IF(入力!$B$2="男",成長曲線_男!K125,成長曲線_女!K125)</f>
        <v>122.1</v>
      </c>
      <c r="M127">
        <f>IF(入力!$B$2="男",成長曲線_男!L125,成長曲線_女!L125)</f>
        <v>118.8</v>
      </c>
      <c r="O127">
        <f>IF(入力!$B$2="男",成長曲線_男!N125,成長曲線_女!N125)</f>
        <v>33.9</v>
      </c>
      <c r="P127">
        <f>IF(入力!$B$2="男",成長曲線_男!O125,成長曲線_女!O125)</f>
        <v>7.24</v>
      </c>
      <c r="Q127">
        <f>IF(入力!$B$2="男",成長曲線_男!P125,成長曲線_女!P125)</f>
        <v>48.379999999999995</v>
      </c>
      <c r="R127">
        <f>IF(入力!$B$2="男",成長曲線_男!Q125,成長曲線_女!Q125)</f>
        <v>41.14</v>
      </c>
      <c r="S127">
        <f>IF(入力!$B$2="男",成長曲線_男!R125,成長曲線_女!R125)</f>
        <v>26.659999999999997</v>
      </c>
      <c r="T127">
        <f>IF(入力!$B$2="男",成長曲線_男!S125,成長曲線_女!S125)</f>
        <v>19.419999999999998</v>
      </c>
      <c r="AE127">
        <f>IF($D127*12&lt;150,IF($D127*12&lt;IF(入力!$B$2="男",78,69),2,3),4)+IF(入力!$B$2="男",0,4)</f>
        <v>7</v>
      </c>
      <c r="AF127">
        <f t="shared" si="11"/>
        <v>-1.7846913835600029</v>
      </c>
      <c r="AG127">
        <f>IF($D127*12&lt;90,IF($D127*12&lt;26.75,IF($D127*12&lt;9.5,IF($D127*12&lt;2.5,2,3),4),5),6)+IF(入力!$B$2="男",0,6)+IF(AND(入力!$B$2&lt;&gt;"男",$D127*12&gt;=150),1,0)</f>
        <v>12</v>
      </c>
      <c r="AH127">
        <f t="shared" si="12"/>
        <v>16.99808742511</v>
      </c>
      <c r="AI127">
        <f>IF(($D127*12)&lt;90,2,3)+IF(入力!$B$2="男",0,3)</f>
        <v>6</v>
      </c>
      <c r="AJ127">
        <f t="shared" si="13"/>
        <v>0.13590930274769991</v>
      </c>
      <c r="AK127">
        <f t="shared" si="17"/>
        <v>13.770325824369737</v>
      </c>
      <c r="AL127">
        <f t="shared" si="15"/>
        <v>14.606056551836504</v>
      </c>
      <c r="AM127">
        <f t="shared" si="15"/>
        <v>15.614515560445669</v>
      </c>
      <c r="AN127">
        <f t="shared" si="15"/>
        <v>16.99808742511</v>
      </c>
      <c r="AO127">
        <f t="shared" si="15"/>
        <v>18.787698670768389</v>
      </c>
      <c r="AP127">
        <f t="shared" si="15"/>
        <v>20.94091350588889</v>
      </c>
      <c r="AQ127">
        <f t="shared" si="15"/>
        <v>23.913225532945912</v>
      </c>
    </row>
    <row r="128" spans="1:43" x14ac:dyDescent="0.15">
      <c r="A128">
        <f t="shared" si="16"/>
        <v>10</v>
      </c>
      <c r="B128" s="2">
        <v>4</v>
      </c>
      <c r="D128" s="3">
        <f t="shared" si="14"/>
        <v>10.333333333333334</v>
      </c>
      <c r="F128">
        <f>IF(入力!$B$2="男",成長曲線_男!E126,成長曲線_女!E126)</f>
        <v>139.19999999999999</v>
      </c>
      <c r="G128">
        <f>IF(入力!$B$2="男",成長曲線_男!F126,成長曲線_女!F126)</f>
        <v>6.7</v>
      </c>
      <c r="H128">
        <f>IF(入力!$B$2="男",成長曲線_男!G126,成長曲線_女!G126)</f>
        <v>152.6</v>
      </c>
      <c r="I128">
        <f>IF(入力!$B$2="男",成長曲線_男!H126,成長曲線_女!H126)</f>
        <v>145.89999999999998</v>
      </c>
      <c r="J128">
        <f>IF(入力!$B$2="男",成長曲線_男!I126,成長曲線_女!I126)</f>
        <v>132.5</v>
      </c>
      <c r="K128">
        <f>IF(入力!$B$2="男",成長曲線_男!J126,成長曲線_女!J126)</f>
        <v>125.79999999999998</v>
      </c>
      <c r="L128">
        <f>IF(入力!$B$2="男",成長曲線_男!K126,成長曲線_女!K126)</f>
        <v>122.44999999999999</v>
      </c>
      <c r="M128">
        <f>IF(入力!$B$2="男",成長曲線_男!L126,成長曲線_女!L126)</f>
        <v>119.1</v>
      </c>
      <c r="O128">
        <f>IF(入力!$B$2="男",成長曲線_男!N126,成長曲線_女!N126)</f>
        <v>34.200000000000003</v>
      </c>
      <c r="P128">
        <f>IF(入力!$B$2="男",成長曲線_男!O126,成長曲線_女!O126)</f>
        <v>7.33</v>
      </c>
      <c r="Q128">
        <f>IF(入力!$B$2="男",成長曲線_男!P126,成長曲線_女!P126)</f>
        <v>48.86</v>
      </c>
      <c r="R128">
        <f>IF(入力!$B$2="男",成長曲線_男!Q126,成長曲線_女!Q126)</f>
        <v>41.53</v>
      </c>
      <c r="S128">
        <f>IF(入力!$B$2="男",成長曲線_男!R126,成長曲線_女!R126)</f>
        <v>26.870000000000005</v>
      </c>
      <c r="T128">
        <f>IF(入力!$B$2="男",成長曲線_男!S126,成長曲線_女!S126)</f>
        <v>19.540000000000003</v>
      </c>
      <c r="AE128">
        <f>IF($D128*12&lt;150,IF($D128*12&lt;IF(入力!$B$2="男",78,69),2,3),4)+IF(入力!$B$2="男",0,4)</f>
        <v>7</v>
      </c>
      <c r="AF128">
        <f t="shared" si="11"/>
        <v>-1.7651493353200047</v>
      </c>
      <c r="AG128">
        <f>IF($D128*12&lt;90,IF($D128*12&lt;26.75,IF($D128*12&lt;9.5,IF($D128*12&lt;2.5,2,3),4),5),6)+IF(入力!$B$2="男",0,6)+IF(AND(入力!$B$2&lt;&gt;"男",$D128*12&gt;=150),1,0)</f>
        <v>12</v>
      </c>
      <c r="AH128">
        <f t="shared" si="12"/>
        <v>17.055845523920002</v>
      </c>
      <c r="AI128">
        <f>IF(($D128*12)&lt;90,2,3)+IF(入力!$B$2="男",0,3)</f>
        <v>6</v>
      </c>
      <c r="AJ128">
        <f t="shared" si="13"/>
        <v>0.13616877225439994</v>
      </c>
      <c r="AK128">
        <f t="shared" si="17"/>
        <v>13.807159788609175</v>
      </c>
      <c r="AL128">
        <f t="shared" si="15"/>
        <v>14.648940566918426</v>
      </c>
      <c r="AM128">
        <f t="shared" si="15"/>
        <v>15.66416212600474</v>
      </c>
      <c r="AN128">
        <f t="shared" si="15"/>
        <v>17.055845523920002</v>
      </c>
      <c r="AO128">
        <f t="shared" si="15"/>
        <v>18.853516671676925</v>
      </c>
      <c r="AP128">
        <f t="shared" si="15"/>
        <v>21.012040050493351</v>
      </c>
      <c r="AQ128">
        <f t="shared" si="15"/>
        <v>23.982212245137109</v>
      </c>
    </row>
    <row r="129" spans="1:43" x14ac:dyDescent="0.15">
      <c r="A129">
        <f t="shared" si="16"/>
        <v>10</v>
      </c>
      <c r="B129" s="2">
        <v>5</v>
      </c>
      <c r="D129" s="3">
        <f t="shared" si="14"/>
        <v>10.416666666666666</v>
      </c>
      <c r="F129">
        <f>IF(入力!$B$2="男",成長曲線_男!E127,成長曲線_女!E127)</f>
        <v>139.69999999999999</v>
      </c>
      <c r="G129">
        <f>IF(入力!$B$2="男",成長曲線_男!F127,成長曲線_女!F127)</f>
        <v>6.7</v>
      </c>
      <c r="H129">
        <f>IF(入力!$B$2="男",成長曲線_男!G127,成長曲線_女!G127)</f>
        <v>153.1</v>
      </c>
      <c r="I129">
        <f>IF(入力!$B$2="男",成長曲線_男!H127,成長曲線_女!H127)</f>
        <v>146.39999999999998</v>
      </c>
      <c r="J129">
        <f>IF(入力!$B$2="男",成長曲線_男!I127,成長曲線_女!I127)</f>
        <v>133</v>
      </c>
      <c r="K129">
        <f>IF(入力!$B$2="男",成長曲線_男!J127,成長曲線_女!J127)</f>
        <v>126.29999999999998</v>
      </c>
      <c r="L129">
        <f>IF(入力!$B$2="男",成長曲線_男!K127,成長曲線_女!K127)</f>
        <v>122.94999999999999</v>
      </c>
      <c r="M129">
        <f>IF(入力!$B$2="男",成長曲線_男!L127,成長曲線_女!L127)</f>
        <v>119.6</v>
      </c>
      <c r="O129">
        <f>IF(入力!$B$2="男",成長曲線_男!N127,成長曲線_女!N127)</f>
        <v>34.6</v>
      </c>
      <c r="P129">
        <f>IF(入力!$B$2="男",成長曲線_男!O127,成長曲線_女!O127)</f>
        <v>7.42</v>
      </c>
      <c r="Q129">
        <f>IF(入力!$B$2="男",成長曲線_男!P127,成長曲線_女!P127)</f>
        <v>49.44</v>
      </c>
      <c r="R129">
        <f>IF(入力!$B$2="男",成長曲線_男!Q127,成長曲線_女!Q127)</f>
        <v>42.02</v>
      </c>
      <c r="S129">
        <f>IF(入力!$B$2="男",成長曲線_男!R127,成長曲線_女!R127)</f>
        <v>27.18</v>
      </c>
      <c r="T129">
        <f>IF(入力!$B$2="男",成長曲線_男!S127,成長曲線_女!S127)</f>
        <v>19.760000000000002</v>
      </c>
      <c r="AE129">
        <f>IF($D129*12&lt;150,IF($D129*12&lt;IF(入力!$B$2="男",78,69),2,3),4)+IF(入力!$B$2="男",0,4)</f>
        <v>7</v>
      </c>
      <c r="AF129">
        <f t="shared" si="11"/>
        <v>-1.7455608709999995</v>
      </c>
      <c r="AG129">
        <f>IF($D129*12&lt;90,IF($D129*12&lt;26.75,IF($D129*12&lt;9.5,IF($D129*12&lt;2.5,2,3),4),5),6)+IF(入力!$B$2="男",0,6)+IF(AND(入力!$B$2&lt;&gt;"男",$D129*12&gt;=150),1,0)</f>
        <v>12</v>
      </c>
      <c r="AH129">
        <f t="shared" si="12"/>
        <v>17.114424796249999</v>
      </c>
      <c r="AI129">
        <f>IF(($D129*12)&lt;90,2,3)+IF(入力!$B$2="男",0,3)</f>
        <v>6</v>
      </c>
      <c r="AJ129">
        <f t="shared" si="13"/>
        <v>0.13641522818749996</v>
      </c>
      <c r="AK129">
        <f t="shared" si="17"/>
        <v>13.844764331209866</v>
      </c>
      <c r="AL129">
        <f t="shared" si="15"/>
        <v>14.692638815898158</v>
      </c>
      <c r="AM129">
        <f t="shared" si="15"/>
        <v>15.714647773316448</v>
      </c>
      <c r="AN129">
        <f t="shared" si="15"/>
        <v>17.114424796249999</v>
      </c>
      <c r="AO129">
        <f t="shared" si="15"/>
        <v>18.920043638438191</v>
      </c>
      <c r="AP129">
        <f t="shared" si="15"/>
        <v>21.083621410433029</v>
      </c>
      <c r="AQ129">
        <f t="shared" si="15"/>
        <v>24.051163237987158</v>
      </c>
    </row>
    <row r="130" spans="1:43" x14ac:dyDescent="0.15">
      <c r="A130">
        <f t="shared" si="16"/>
        <v>10</v>
      </c>
      <c r="B130" s="2">
        <v>6</v>
      </c>
      <c r="D130" s="3">
        <f t="shared" si="14"/>
        <v>10.5</v>
      </c>
      <c r="F130">
        <f>IF(入力!$B$2="男",成長曲線_男!E128,成長曲線_女!E128)</f>
        <v>140.30000000000001</v>
      </c>
      <c r="G130">
        <f>IF(入力!$B$2="男",成長曲線_男!F128,成長曲線_女!F128)</f>
        <v>6.8</v>
      </c>
      <c r="H130">
        <f>IF(入力!$B$2="男",成長曲線_男!G128,成長曲線_女!G128)</f>
        <v>153.9</v>
      </c>
      <c r="I130">
        <f>IF(入力!$B$2="男",成長曲線_男!H128,成長曲線_女!H128)</f>
        <v>147.10000000000002</v>
      </c>
      <c r="J130">
        <f>IF(入力!$B$2="男",成長曲線_男!I128,成長曲線_女!I128)</f>
        <v>133.5</v>
      </c>
      <c r="K130">
        <f>IF(入力!$B$2="男",成長曲線_男!J128,成長曲線_女!J128)</f>
        <v>126.70000000000002</v>
      </c>
      <c r="L130">
        <f>IF(入力!$B$2="男",成長曲線_男!K128,成長曲線_女!K128)</f>
        <v>123.30000000000001</v>
      </c>
      <c r="M130">
        <f>IF(入力!$B$2="男",成長曲線_男!L128,成長曲線_女!L128)</f>
        <v>119.9</v>
      </c>
      <c r="O130">
        <f>IF(入力!$B$2="男",成長曲線_男!N128,成長曲線_女!N128)</f>
        <v>34.9</v>
      </c>
      <c r="P130">
        <f>IF(入力!$B$2="男",成長曲線_男!O128,成長曲線_女!O128)</f>
        <v>7.51</v>
      </c>
      <c r="Q130">
        <f>IF(入力!$B$2="男",成長曲線_男!P128,成長曲線_女!P128)</f>
        <v>49.92</v>
      </c>
      <c r="R130">
        <f>IF(入力!$B$2="男",成長曲線_男!Q128,成長曲線_女!Q128)</f>
        <v>42.41</v>
      </c>
      <c r="S130">
        <f>IF(入力!$B$2="男",成長曲線_男!R128,成長曲線_女!R128)</f>
        <v>27.39</v>
      </c>
      <c r="T130">
        <f>IF(入力!$B$2="男",成長曲線_男!S128,成長曲線_女!S128)</f>
        <v>19.88</v>
      </c>
      <c r="AE130">
        <f>IF($D130*12&lt;150,IF($D130*12&lt;IF(入力!$B$2="男",78,69),2,3),4)+IF(入力!$B$2="男",0,4)</f>
        <v>7</v>
      </c>
      <c r="AF130">
        <f t="shared" si="11"/>
        <v>-1.7259610166799968</v>
      </c>
      <c r="AG130">
        <f>IF($D130*12&lt;90,IF($D130*12&lt;26.75,IF($D130*12&lt;9.5,IF($D130*12&lt;2.5,2,3),4),5),6)+IF(入力!$B$2="男",0,6)+IF(AND(入力!$B$2&lt;&gt;"男",$D130*12&gt;=150),1,0)</f>
        <v>12</v>
      </c>
      <c r="AH130">
        <f t="shared" si="12"/>
        <v>17.173807004079997</v>
      </c>
      <c r="AI130">
        <f>IF(($D130*12)&lt;90,2,3)+IF(入力!$B$2="男",0,3)</f>
        <v>6</v>
      </c>
      <c r="AJ130">
        <f t="shared" si="13"/>
        <v>0.13664879704559996</v>
      </c>
      <c r="AK130">
        <f t="shared" si="17"/>
        <v>13.883133390793899</v>
      </c>
      <c r="AL130">
        <f t="shared" si="15"/>
        <v>14.737140643862665</v>
      </c>
      <c r="AM130">
        <f t="shared" si="15"/>
        <v>15.765957457723491</v>
      </c>
      <c r="AN130">
        <f t="shared" si="15"/>
        <v>17.173807004079997</v>
      </c>
      <c r="AO130">
        <f t="shared" si="15"/>
        <v>18.987263974905062</v>
      </c>
      <c r="AP130">
        <f t="shared" si="15"/>
        <v>21.155659169556159</v>
      </c>
      <c r="AQ130">
        <f t="shared" si="15"/>
        <v>24.120137493375282</v>
      </c>
    </row>
    <row r="131" spans="1:43" x14ac:dyDescent="0.15">
      <c r="A131">
        <f t="shared" si="16"/>
        <v>10</v>
      </c>
      <c r="B131" s="2">
        <v>7</v>
      </c>
      <c r="D131" s="3">
        <f t="shared" si="14"/>
        <v>10.583333333333334</v>
      </c>
      <c r="F131">
        <f>IF(入力!$B$2="男",成長曲線_男!E129,成長曲線_女!E129)</f>
        <v>140.9</v>
      </c>
      <c r="G131">
        <f>IF(入力!$B$2="男",成長曲線_男!F129,成長曲線_女!F129)</f>
        <v>6.8</v>
      </c>
      <c r="H131">
        <f>IF(入力!$B$2="男",成長曲線_男!G129,成長曲線_女!G129)</f>
        <v>154.5</v>
      </c>
      <c r="I131">
        <f>IF(入力!$B$2="男",成長曲線_男!H129,成長曲線_女!H129)</f>
        <v>147.70000000000002</v>
      </c>
      <c r="J131">
        <f>IF(入力!$B$2="男",成長曲線_男!I129,成長曲線_女!I129)</f>
        <v>134.1</v>
      </c>
      <c r="K131">
        <f>IF(入力!$B$2="男",成長曲線_男!J129,成長曲線_女!J129)</f>
        <v>127.30000000000001</v>
      </c>
      <c r="L131">
        <f>IF(入力!$B$2="男",成長曲線_男!K129,成長曲線_女!K129)</f>
        <v>123.9</v>
      </c>
      <c r="M131">
        <f>IF(入力!$B$2="男",成長曲線_男!L129,成長曲線_女!L129)</f>
        <v>120.5</v>
      </c>
      <c r="O131">
        <f>IF(入力!$B$2="男",成長曲線_男!N129,成長曲線_女!N129)</f>
        <v>35.299999999999997</v>
      </c>
      <c r="P131">
        <f>IF(入力!$B$2="男",成長曲線_男!O129,成長曲線_女!O129)</f>
        <v>7.58</v>
      </c>
      <c r="Q131">
        <f>IF(入力!$B$2="男",成長曲線_男!P129,成長曲線_女!P129)</f>
        <v>50.459999999999994</v>
      </c>
      <c r="R131">
        <f>IF(入力!$B$2="男",成長曲線_男!Q129,成長曲線_女!Q129)</f>
        <v>42.879999999999995</v>
      </c>
      <c r="S131">
        <f>IF(入力!$B$2="男",成長曲線_男!R129,成長曲線_女!R129)</f>
        <v>27.72</v>
      </c>
      <c r="T131">
        <f>IF(入力!$B$2="男",成長曲線_男!S129,成長曲線_女!S129)</f>
        <v>20.139999999999997</v>
      </c>
      <c r="AE131">
        <f>IF($D131*12&lt;150,IF($D131*12&lt;IF(入力!$B$2="男",78,69),2,3),4)+IF(入力!$B$2="男",0,4)</f>
        <v>7</v>
      </c>
      <c r="AF131">
        <f t="shared" si="11"/>
        <v>-1.7063847984400029</v>
      </c>
      <c r="AG131">
        <f>IF($D131*12&lt;90,IF($D131*12&lt;26.75,IF($D131*12&lt;9.5,IF($D131*12&lt;2.5,2,3),4),5),6)+IF(入力!$B$2="男",0,6)+IF(AND(入力!$B$2&lt;&gt;"男",$D131*12&gt;=150),1,0)</f>
        <v>12</v>
      </c>
      <c r="AH131">
        <f t="shared" si="12"/>
        <v>17.233973909389999</v>
      </c>
      <c r="AI131">
        <f>IF(($D131*12)&lt;90,2,3)+IF(入力!$B$2="男",0,3)</f>
        <v>6</v>
      </c>
      <c r="AJ131">
        <f t="shared" si="13"/>
        <v>0.13686960532729991</v>
      </c>
      <c r="AK131">
        <f t="shared" si="17"/>
        <v>13.922261417197316</v>
      </c>
      <c r="AL131">
        <f t="shared" si="15"/>
        <v>14.782435685846556</v>
      </c>
      <c r="AM131">
        <f t="shared" si="15"/>
        <v>15.818076240789903</v>
      </c>
      <c r="AN131">
        <f t="shared" si="15"/>
        <v>17.233973909389999</v>
      </c>
      <c r="AO131">
        <f t="shared" si="15"/>
        <v>19.05516213395855</v>
      </c>
      <c r="AP131">
        <f t="shared" si="15"/>
        <v>21.228155012044031</v>
      </c>
      <c r="AQ131">
        <f t="shared" si="15"/>
        <v>24.189192923947086</v>
      </c>
    </row>
    <row r="132" spans="1:43" x14ac:dyDescent="0.15">
      <c r="A132">
        <f t="shared" si="16"/>
        <v>10</v>
      </c>
      <c r="B132" s="2">
        <v>8</v>
      </c>
      <c r="D132" s="3">
        <f t="shared" si="14"/>
        <v>10.666666666666666</v>
      </c>
      <c r="F132">
        <f>IF(入力!$B$2="男",成長曲線_男!E130,成長曲線_女!E130)</f>
        <v>141.4</v>
      </c>
      <c r="G132">
        <f>IF(入力!$B$2="男",成長曲線_男!F130,成長曲線_女!F130)</f>
        <v>6.8</v>
      </c>
      <c r="H132">
        <f>IF(入力!$B$2="男",成長曲線_男!G130,成長曲線_女!G130)</f>
        <v>155</v>
      </c>
      <c r="I132">
        <f>IF(入力!$B$2="男",成長曲線_男!H130,成長曲線_女!H130)</f>
        <v>148.20000000000002</v>
      </c>
      <c r="J132">
        <f>IF(入力!$B$2="男",成長曲線_男!I130,成長曲線_女!I130)</f>
        <v>134.6</v>
      </c>
      <c r="K132">
        <f>IF(入力!$B$2="男",成長曲線_男!J130,成長曲線_女!J130)</f>
        <v>127.80000000000001</v>
      </c>
      <c r="L132">
        <f>IF(入力!$B$2="男",成長曲線_男!K130,成長曲線_女!K130)</f>
        <v>124.4</v>
      </c>
      <c r="M132">
        <f>IF(入力!$B$2="男",成長曲線_男!L130,成長曲線_女!L130)</f>
        <v>121</v>
      </c>
      <c r="O132">
        <f>IF(入力!$B$2="男",成長曲線_男!N130,成長曲線_女!N130)</f>
        <v>35.799999999999997</v>
      </c>
      <c r="P132">
        <f>IF(入力!$B$2="男",成長曲線_男!O130,成長曲線_女!O130)</f>
        <v>7.65</v>
      </c>
      <c r="Q132">
        <f>IF(入力!$B$2="男",成長曲線_男!P130,成長曲線_女!P130)</f>
        <v>51.099999999999994</v>
      </c>
      <c r="R132">
        <f>IF(入力!$B$2="男",成長曲線_男!Q130,成長曲線_女!Q130)</f>
        <v>43.449999999999996</v>
      </c>
      <c r="S132">
        <f>IF(入力!$B$2="男",成長曲線_男!R130,成長曲線_女!R130)</f>
        <v>28.15</v>
      </c>
      <c r="T132">
        <f>IF(入力!$B$2="男",成長曲線_男!S130,成長曲線_女!S130)</f>
        <v>20.499999999999996</v>
      </c>
      <c r="AE132">
        <f>IF($D132*12&lt;150,IF($D132*12&lt;IF(入力!$B$2="男",78,69),2,3),4)+IF(入力!$B$2="男",0,4)</f>
        <v>7</v>
      </c>
      <c r="AF132">
        <f t="shared" ref="AF132:AF195" si="18">INDEX(BMI_L,$AE132,3)*($D132*12)^3+INDEX(BMI_L,$AE132,4)*($D132*12)^2+INDEX(BMI_L,$AE132,5)*($D132*12)+INDEX(BMI_L,$AE132,6)</f>
        <v>-1.6868672423599991</v>
      </c>
      <c r="AG132">
        <f>IF($D132*12&lt;90,IF($D132*12&lt;26.75,IF($D132*12&lt;9.5,IF($D132*12&lt;2.5,2,3),4),5),6)+IF(入力!$B$2="男",0,6)+IF(AND(入力!$B$2&lt;&gt;"男",$D132*12&gt;=150),1,0)</f>
        <v>12</v>
      </c>
      <c r="AH132">
        <f t="shared" ref="AH132:AH195" si="19">INDEX(BMI_M,$AG132,3)*($D132*12)^3+INDEX(BMI_M,$AG132,4)*($D132*12)^2+INDEX(BMI_M,$AG132,5)*($D132*12)+INDEX(BMI_M,$AG132,6)</f>
        <v>17.29490727416</v>
      </c>
      <c r="AI132">
        <f>IF(($D132*12)&lt;90,2,3)+IF(入力!$B$2="男",0,3)</f>
        <v>6</v>
      </c>
      <c r="AJ132">
        <f t="shared" ref="AJ132:AJ195" si="20">INDEX(BMI_S,$AI132,3)*($D132*12)^3+INDEX(BMI_S,$AI132,4)*($D132*12)^2+INDEX(BMI_S,$AI132,5)*($D132*12)+INDEX(BMI_S,$AI132,6)</f>
        <v>0.13707777953119993</v>
      </c>
      <c r="AK132">
        <f t="shared" si="17"/>
        <v>13.962143370527235</v>
      </c>
      <c r="AL132">
        <f t="shared" si="15"/>
        <v>14.828513863369771</v>
      </c>
      <c r="AM132">
        <f t="shared" si="15"/>
        <v>15.870989287381892</v>
      </c>
      <c r="AN132">
        <f t="shared" si="15"/>
        <v>17.29490727416</v>
      </c>
      <c r="AO132">
        <f t="shared" si="15"/>
        <v>19.123722613292699</v>
      </c>
      <c r="AP132">
        <f t="shared" si="15"/>
        <v>21.301110680206648</v>
      </c>
      <c r="AQ132">
        <f t="shared" si="15"/>
        <v>24.258386211825606</v>
      </c>
    </row>
    <row r="133" spans="1:43" x14ac:dyDescent="0.15">
      <c r="A133">
        <f t="shared" si="16"/>
        <v>10</v>
      </c>
      <c r="B133" s="2">
        <v>9</v>
      </c>
      <c r="D133" s="3">
        <f t="shared" ref="D133:D196" si="21">A133+B133/12</f>
        <v>10.75</v>
      </c>
      <c r="F133">
        <f>IF(入力!$B$2="男",成長曲線_男!E131,成長曲線_女!E131)</f>
        <v>142</v>
      </c>
      <c r="G133">
        <f>IF(入力!$B$2="男",成長曲線_男!F131,成長曲線_女!F131)</f>
        <v>6.8</v>
      </c>
      <c r="H133">
        <f>IF(入力!$B$2="男",成長曲線_男!G131,成長曲線_女!G131)</f>
        <v>155.6</v>
      </c>
      <c r="I133">
        <f>IF(入力!$B$2="男",成長曲線_男!H131,成長曲線_女!H131)</f>
        <v>148.80000000000001</v>
      </c>
      <c r="J133">
        <f>IF(入力!$B$2="男",成長曲線_男!I131,成長曲線_女!I131)</f>
        <v>135.19999999999999</v>
      </c>
      <c r="K133">
        <f>IF(入力!$B$2="男",成長曲線_男!J131,成長曲線_女!J131)</f>
        <v>128.4</v>
      </c>
      <c r="L133">
        <f>IF(入力!$B$2="男",成長曲線_男!K131,成長曲線_女!K131)</f>
        <v>125</v>
      </c>
      <c r="M133">
        <f>IF(入力!$B$2="男",成長曲線_男!L131,成長曲線_女!L131)</f>
        <v>121.6</v>
      </c>
      <c r="O133">
        <f>IF(入力!$B$2="男",成長曲線_男!N131,成長曲線_女!N131)</f>
        <v>36.200000000000003</v>
      </c>
      <c r="P133">
        <f>IF(入力!$B$2="男",成長曲線_男!O131,成長曲線_女!O131)</f>
        <v>7.72</v>
      </c>
      <c r="Q133">
        <f>IF(入力!$B$2="男",成長曲線_男!P131,成長曲線_女!P131)</f>
        <v>51.64</v>
      </c>
      <c r="R133">
        <f>IF(入力!$B$2="男",成長曲線_男!Q131,成長曲線_女!Q131)</f>
        <v>43.92</v>
      </c>
      <c r="S133">
        <f>IF(入力!$B$2="男",成長曲線_男!R131,成長曲線_女!R131)</f>
        <v>28.480000000000004</v>
      </c>
      <c r="T133">
        <f>IF(入力!$B$2="男",成長曲線_男!S131,成長曲線_女!S131)</f>
        <v>20.760000000000005</v>
      </c>
      <c r="AE133">
        <f>IF($D133*12&lt;150,IF($D133*12&lt;IF(入力!$B$2="男",78,69),2,3),4)+IF(入力!$B$2="男",0,4)</f>
        <v>7</v>
      </c>
      <c r="AF133">
        <f t="shared" si="18"/>
        <v>-1.6674433745199986</v>
      </c>
      <c r="AG133">
        <f>IF($D133*12&lt;90,IF($D133*12&lt;26.75,IF($D133*12&lt;9.5,IF($D133*12&lt;2.5,2,3),4),5),6)+IF(入力!$B$2="男",0,6)+IF(AND(入力!$B$2&lt;&gt;"男",$D133*12&gt;=150),1,0)</f>
        <v>12</v>
      </c>
      <c r="AH133">
        <f t="shared" si="19"/>
        <v>17.35658886037</v>
      </c>
      <c r="AI133">
        <f>IF(($D133*12)&lt;90,2,3)+IF(入力!$B$2="男",0,3)</f>
        <v>6</v>
      </c>
      <c r="AJ133">
        <f t="shared" si="20"/>
        <v>0.13727344615589995</v>
      </c>
      <c r="AK133">
        <f t="shared" si="17"/>
        <v>14.002774719196356</v>
      </c>
      <c r="AL133">
        <f t="shared" si="15"/>
        <v>14.875365380462902</v>
      </c>
      <c r="AM133">
        <f t="shared" si="15"/>
        <v>15.92468186262157</v>
      </c>
      <c r="AN133">
        <f t="shared" si="15"/>
        <v>17.35658886037</v>
      </c>
      <c r="AO133">
        <f t="shared" si="15"/>
        <v>19.192929951359222</v>
      </c>
      <c r="AP133">
        <f t="shared" si="15"/>
        <v>21.374527936032443</v>
      </c>
      <c r="AQ133">
        <f t="shared" si="15"/>
        <v>24.327772676078677</v>
      </c>
    </row>
    <row r="134" spans="1:43" x14ac:dyDescent="0.15">
      <c r="A134">
        <f t="shared" si="16"/>
        <v>10</v>
      </c>
      <c r="B134" s="2">
        <v>10</v>
      </c>
      <c r="D134" s="3">
        <f t="shared" si="21"/>
        <v>10.833333333333334</v>
      </c>
      <c r="F134">
        <f>IF(入力!$B$2="男",成長曲線_男!E132,成長曲線_女!E132)</f>
        <v>142.6</v>
      </c>
      <c r="G134">
        <f>IF(入力!$B$2="男",成長曲線_男!F132,成長曲線_女!F132)</f>
        <v>6.8</v>
      </c>
      <c r="H134">
        <f>IF(入力!$B$2="男",成長曲線_男!G132,成長曲線_女!G132)</f>
        <v>156.19999999999999</v>
      </c>
      <c r="I134">
        <f>IF(入力!$B$2="男",成長曲線_男!H132,成長曲線_女!H132)</f>
        <v>149.4</v>
      </c>
      <c r="J134">
        <f>IF(入力!$B$2="男",成長曲線_男!I132,成長曲線_女!I132)</f>
        <v>135.79999999999998</v>
      </c>
      <c r="K134">
        <f>IF(入力!$B$2="男",成長曲線_男!J132,成長曲線_女!J132)</f>
        <v>129</v>
      </c>
      <c r="L134">
        <f>IF(入力!$B$2="男",成長曲線_男!K132,成長曲線_女!K132)</f>
        <v>125.6</v>
      </c>
      <c r="M134">
        <f>IF(入力!$B$2="男",成長曲線_男!L132,成長曲線_女!L132)</f>
        <v>122.19999999999999</v>
      </c>
      <c r="O134">
        <f>IF(入力!$B$2="男",成長曲線_男!N132,成長曲線_女!N132)</f>
        <v>36.6</v>
      </c>
      <c r="P134">
        <f>IF(入力!$B$2="男",成長曲線_男!O132,成長曲線_女!O132)</f>
        <v>7.79</v>
      </c>
      <c r="Q134">
        <f>IF(入力!$B$2="男",成長曲線_男!P132,成長曲線_女!P132)</f>
        <v>52.18</v>
      </c>
      <c r="R134">
        <f>IF(入力!$B$2="男",成長曲線_男!Q132,成長曲線_女!Q132)</f>
        <v>44.39</v>
      </c>
      <c r="S134">
        <f>IF(入力!$B$2="男",成長曲線_男!R132,成長曲線_女!R132)</f>
        <v>28.810000000000002</v>
      </c>
      <c r="T134">
        <f>IF(入力!$B$2="男",成長曲線_男!S132,成長曲線_女!S132)</f>
        <v>21.020000000000003</v>
      </c>
      <c r="AE134">
        <f>IF($D134*12&lt;150,IF($D134*12&lt;IF(入力!$B$2="男",78,69),2,3),4)+IF(入力!$B$2="男",0,4)</f>
        <v>7</v>
      </c>
      <c r="AF134">
        <f t="shared" si="18"/>
        <v>-1.648148221000004</v>
      </c>
      <c r="AG134">
        <f>IF($D134*12&lt;90,IF($D134*12&lt;26.75,IF($D134*12&lt;9.5,IF($D134*12&lt;2.5,2,3),4),5),6)+IF(入力!$B$2="男",0,6)+IF(AND(入力!$B$2&lt;&gt;"男",$D134*12&gt;=150),1,0)</f>
        <v>12</v>
      </c>
      <c r="AH134">
        <f t="shared" si="19"/>
        <v>17.419000430000001</v>
      </c>
      <c r="AI134">
        <f>IF(($D134*12)&lt;90,2,3)+IF(入力!$B$2="男",0,3)</f>
        <v>6</v>
      </c>
      <c r="AJ134">
        <f t="shared" si="20"/>
        <v>0.13745673169999992</v>
      </c>
      <c r="AK134">
        <f t="shared" si="17"/>
        <v>14.044151436832149</v>
      </c>
      <c r="AL134">
        <f t="shared" si="15"/>
        <v>14.922980719137687</v>
      </c>
      <c r="AM134">
        <f t="shared" si="15"/>
        <v>15.979139328705626</v>
      </c>
      <c r="AN134">
        <f t="shared" si="15"/>
        <v>17.419000430000001</v>
      </c>
      <c r="AO134">
        <f t="shared" si="15"/>
        <v>19.262768723484047</v>
      </c>
      <c r="AP134">
        <f t="shared" si="15"/>
        <v>21.4484085264912</v>
      </c>
      <c r="AQ134">
        <f t="shared" si="15"/>
        <v>24.397406167385146</v>
      </c>
    </row>
    <row r="135" spans="1:43" x14ac:dyDescent="0.15">
      <c r="A135">
        <f t="shared" si="16"/>
        <v>10</v>
      </c>
      <c r="B135" s="2">
        <v>11</v>
      </c>
      <c r="D135" s="3">
        <f t="shared" si="21"/>
        <v>10.916666666666666</v>
      </c>
      <c r="F135">
        <f>IF(入力!$B$2="男",成長曲線_男!E133,成長曲線_女!E133)</f>
        <v>143.1</v>
      </c>
      <c r="G135">
        <f>IF(入力!$B$2="男",成長曲線_男!F133,成長曲線_女!F133)</f>
        <v>6.7</v>
      </c>
      <c r="H135">
        <f>IF(入力!$B$2="男",成長曲線_男!G133,成長曲線_女!G133)</f>
        <v>156.5</v>
      </c>
      <c r="I135">
        <f>IF(入力!$B$2="男",成長曲線_男!H133,成長曲線_女!H133)</f>
        <v>149.79999999999998</v>
      </c>
      <c r="J135">
        <f>IF(入力!$B$2="男",成長曲線_男!I133,成長曲線_女!I133)</f>
        <v>136.4</v>
      </c>
      <c r="K135">
        <f>IF(入力!$B$2="男",成長曲線_男!J133,成長曲線_女!J133)</f>
        <v>129.69999999999999</v>
      </c>
      <c r="L135">
        <f>IF(入力!$B$2="男",成長曲線_男!K133,成長曲線_女!K133)</f>
        <v>126.35</v>
      </c>
      <c r="M135">
        <f>IF(入力!$B$2="男",成長曲線_男!L133,成長曲線_女!L133)</f>
        <v>123</v>
      </c>
      <c r="O135">
        <f>IF(入力!$B$2="男",成長曲線_男!N133,成長曲線_女!N133)</f>
        <v>37.1</v>
      </c>
      <c r="P135">
        <f>IF(入力!$B$2="男",成長曲線_男!O133,成長曲線_女!O133)</f>
        <v>7.86</v>
      </c>
      <c r="Q135">
        <f>IF(入力!$B$2="男",成長曲線_男!P133,成長曲線_女!P133)</f>
        <v>52.82</v>
      </c>
      <c r="R135">
        <f>IF(入力!$B$2="男",成長曲線_男!Q133,成長曲線_女!Q133)</f>
        <v>44.96</v>
      </c>
      <c r="S135">
        <f>IF(入力!$B$2="男",成長曲線_男!R133,成長曲線_女!R133)</f>
        <v>29.240000000000002</v>
      </c>
      <c r="T135">
        <f>IF(入力!$B$2="男",成長曲線_男!S133,成長曲線_女!S133)</f>
        <v>21.380000000000003</v>
      </c>
      <c r="AE135">
        <f>IF($D135*12&lt;150,IF($D135*12&lt;IF(入力!$B$2="男",78,69),2,3),4)+IF(入力!$B$2="男",0,4)</f>
        <v>7</v>
      </c>
      <c r="AF135">
        <f t="shared" si="18"/>
        <v>-1.6290168078800038</v>
      </c>
      <c r="AG135">
        <f>IF($D135*12&lt;90,IF($D135*12&lt;26.75,IF($D135*12&lt;9.5,IF($D135*12&lt;2.5,2,3),4),5),6)+IF(入力!$B$2="男",0,6)+IF(AND(入力!$B$2&lt;&gt;"男",$D135*12&gt;=150),1,0)</f>
        <v>12</v>
      </c>
      <c r="AH135">
        <f t="shared" si="19"/>
        <v>17.482123745030002</v>
      </c>
      <c r="AI135">
        <f>IF(($D135*12)&lt;90,2,3)+IF(入力!$B$2="男",0,3)</f>
        <v>6</v>
      </c>
      <c r="AJ135">
        <f t="shared" si="20"/>
        <v>0.13762776266209992</v>
      </c>
      <c r="AK135">
        <f t="shared" si="17"/>
        <v>14.08626999795759</v>
      </c>
      <c r="AL135">
        <f t="shared" si="15"/>
        <v>14.971350634260961</v>
      </c>
      <c r="AM135">
        <f t="shared" si="15"/>
        <v>16.034347141581492</v>
      </c>
      <c r="AN135">
        <f t="shared" si="15"/>
        <v>17.482123745030002</v>
      </c>
      <c r="AO135">
        <f t="shared" si="15"/>
        <v>19.333223538166383</v>
      </c>
      <c r="AP135">
        <f t="shared" si="15"/>
        <v>21.522754152562811</v>
      </c>
      <c r="AQ135">
        <f t="shared" si="15"/>
        <v>24.467338988235653</v>
      </c>
    </row>
    <row r="136" spans="1:43" x14ac:dyDescent="0.15">
      <c r="A136">
        <f t="shared" si="16"/>
        <v>11</v>
      </c>
      <c r="B136" s="2">
        <v>0</v>
      </c>
      <c r="D136" s="3">
        <f t="shared" si="21"/>
        <v>11</v>
      </c>
      <c r="F136">
        <f>IF(入力!$B$2="男",成長曲線_男!E134,成長曲線_女!E134)</f>
        <v>143.69999999999999</v>
      </c>
      <c r="G136">
        <f>IF(入力!$B$2="男",成長曲線_男!F134,成長曲線_女!F134)</f>
        <v>6.7</v>
      </c>
      <c r="H136">
        <f>IF(入力!$B$2="男",成長曲線_男!G134,成長曲線_女!G134)</f>
        <v>157.1</v>
      </c>
      <c r="I136">
        <f>IF(入力!$B$2="男",成長曲線_男!H134,成長曲線_女!H134)</f>
        <v>150.39999999999998</v>
      </c>
      <c r="J136">
        <f>IF(入力!$B$2="男",成長曲線_男!I134,成長曲線_女!I134)</f>
        <v>137</v>
      </c>
      <c r="K136">
        <f>IF(入力!$B$2="男",成長曲線_男!J134,成長曲線_女!J134)</f>
        <v>130.29999999999998</v>
      </c>
      <c r="L136">
        <f>IF(入力!$B$2="男",成長曲線_男!K134,成長曲線_女!K134)</f>
        <v>126.94999999999999</v>
      </c>
      <c r="M136">
        <f>IF(入力!$B$2="男",成長曲線_男!L134,成長曲線_女!L134)</f>
        <v>123.6</v>
      </c>
      <c r="O136">
        <f>IF(入力!$B$2="男",成長曲線_男!N134,成長曲線_女!N134)</f>
        <v>37.5</v>
      </c>
      <c r="P136">
        <f>IF(入力!$B$2="男",成長曲線_男!O134,成長曲線_女!O134)</f>
        <v>7.93</v>
      </c>
      <c r="Q136">
        <f>IF(入力!$B$2="男",成長曲線_男!P134,成長曲線_女!P134)</f>
        <v>53.36</v>
      </c>
      <c r="R136">
        <f>IF(入力!$B$2="男",成長曲線_男!Q134,成長曲線_女!Q134)</f>
        <v>45.43</v>
      </c>
      <c r="S136">
        <f>IF(入力!$B$2="男",成長曲線_男!R134,成長曲線_女!R134)</f>
        <v>29.57</v>
      </c>
      <c r="T136">
        <f>IF(入力!$B$2="男",成長曲線_男!S134,成長曲線_女!S134)</f>
        <v>21.64</v>
      </c>
      <c r="AE136">
        <f>IF($D136*12&lt;150,IF($D136*12&lt;IF(入力!$B$2="男",78,69),2,3),4)+IF(入力!$B$2="男",0,4)</f>
        <v>7</v>
      </c>
      <c r="AF136">
        <f t="shared" si="18"/>
        <v>-1.6100841612400005</v>
      </c>
      <c r="AG136">
        <f>IF($D136*12&lt;90,IF($D136*12&lt;26.75,IF($D136*12&lt;9.5,IF($D136*12&lt;2.5,2,3),4),5),6)+IF(入力!$B$2="男",0,6)+IF(AND(入力!$B$2&lt;&gt;"男",$D136*12&gt;=150),1,0)</f>
        <v>12</v>
      </c>
      <c r="AH136">
        <f t="shared" si="19"/>
        <v>17.545940567439999</v>
      </c>
      <c r="AI136">
        <f>IF(($D136*12)&lt;90,2,3)+IF(入力!$B$2="男",0,3)</f>
        <v>6</v>
      </c>
      <c r="AJ136">
        <f t="shared" si="20"/>
        <v>0.13778666554079994</v>
      </c>
      <c r="AK136">
        <f t="shared" si="17"/>
        <v>14.129127372340481</v>
      </c>
      <c r="AL136">
        <f t="shared" si="15"/>
        <v>15.020466147791419</v>
      </c>
      <c r="AM136">
        <f t="shared" si="15"/>
        <v>16.09029084747398</v>
      </c>
      <c r="AN136">
        <f t="shared" si="15"/>
        <v>17.545940567439999</v>
      </c>
      <c r="AO136">
        <f t="shared" si="15"/>
        <v>19.404279033569612</v>
      </c>
      <c r="AP136">
        <f t="shared" si="15"/>
        <v>21.597566441940973</v>
      </c>
      <c r="AQ136">
        <f t="shared" si="15"/>
        <v>24.537621836941202</v>
      </c>
    </row>
    <row r="137" spans="1:43" x14ac:dyDescent="0.15">
      <c r="A137">
        <f t="shared" si="16"/>
        <v>11</v>
      </c>
      <c r="B137" s="2">
        <v>1</v>
      </c>
      <c r="D137" s="3">
        <f t="shared" si="21"/>
        <v>11.083333333333334</v>
      </c>
      <c r="F137">
        <f>IF(入力!$B$2="男",成長曲線_男!E135,成長曲線_女!E135)</f>
        <v>144.30000000000001</v>
      </c>
      <c r="G137">
        <f>IF(入力!$B$2="男",成長曲線_男!F135,成長曲線_女!F135)</f>
        <v>6.7</v>
      </c>
      <c r="H137">
        <f>IF(入力!$B$2="男",成長曲線_男!G135,成長曲線_女!G135)</f>
        <v>157.70000000000002</v>
      </c>
      <c r="I137">
        <f>IF(入力!$B$2="男",成長曲線_男!H135,成長曲線_女!H135)</f>
        <v>151</v>
      </c>
      <c r="J137">
        <f>IF(入力!$B$2="男",成長曲線_男!I135,成長曲線_女!I135)</f>
        <v>137.60000000000002</v>
      </c>
      <c r="K137">
        <f>IF(入力!$B$2="男",成長曲線_男!J135,成長曲線_女!J135)</f>
        <v>130.9</v>
      </c>
      <c r="L137">
        <f>IF(入力!$B$2="男",成長曲線_男!K135,成長曲線_女!K135)</f>
        <v>127.55000000000001</v>
      </c>
      <c r="M137">
        <f>IF(入力!$B$2="男",成長曲線_男!L135,成長曲線_女!L135)</f>
        <v>124.20000000000002</v>
      </c>
      <c r="O137">
        <f>IF(入力!$B$2="男",成長曲線_男!N135,成長曲線_女!N135)</f>
        <v>37.9</v>
      </c>
      <c r="P137">
        <f>IF(入力!$B$2="男",成長曲線_男!O135,成長曲線_女!O135)</f>
        <v>8</v>
      </c>
      <c r="Q137">
        <f>IF(入力!$B$2="男",成長曲線_男!P135,成長曲線_女!P135)</f>
        <v>53.9</v>
      </c>
      <c r="R137">
        <f>IF(入力!$B$2="男",成長曲線_男!Q135,成長曲線_女!Q135)</f>
        <v>45.9</v>
      </c>
      <c r="S137">
        <f>IF(入力!$B$2="男",成長曲線_男!R135,成長曲線_女!R135)</f>
        <v>29.9</v>
      </c>
      <c r="T137">
        <f>IF(入力!$B$2="男",成長曲線_男!S135,成長曲線_女!S135)</f>
        <v>21.9</v>
      </c>
      <c r="AE137">
        <f>IF($D137*12&lt;150,IF($D137*12&lt;IF(入力!$B$2="男",78,69),2,3),4)+IF(入力!$B$2="男",0,4)</f>
        <v>7</v>
      </c>
      <c r="AF137">
        <f t="shared" si="18"/>
        <v>-1.5913853071600039</v>
      </c>
      <c r="AG137">
        <f>IF($D137*12&lt;90,IF($D137*12&lt;26.75,IF($D137*12&lt;9.5,IF($D137*12&lt;2.5,2,3),4),5),6)+IF(入力!$B$2="男",0,6)+IF(AND(入力!$B$2&lt;&gt;"男",$D137*12&gt;=150),1,0)</f>
        <v>12</v>
      </c>
      <c r="AH137">
        <f t="shared" si="19"/>
        <v>17.610432659210002</v>
      </c>
      <c r="AI137">
        <f>IF(($D137*12)&lt;90,2,3)+IF(入力!$B$2="男",0,3)</f>
        <v>6</v>
      </c>
      <c r="AJ137">
        <f t="shared" si="20"/>
        <v>0.13793356683469998</v>
      </c>
      <c r="AK137">
        <f t="shared" si="17"/>
        <v>14.172721017908835</v>
      </c>
      <c r="AL137">
        <f t="shared" si="15"/>
        <v>15.070318542339637</v>
      </c>
      <c r="AM137">
        <f t="shared" si="15"/>
        <v>16.146956079256018</v>
      </c>
      <c r="AN137">
        <f t="shared" si="15"/>
        <v>17.610432659210002</v>
      </c>
      <c r="AO137">
        <f t="shared" si="15"/>
        <v>19.475919874211584</v>
      </c>
      <c r="AP137">
        <f t="shared" si="15"/>
        <v>21.672846925341382</v>
      </c>
      <c r="AQ137">
        <f t="shared" si="15"/>
        <v>24.608303773700182</v>
      </c>
    </row>
    <row r="138" spans="1:43" x14ac:dyDescent="0.15">
      <c r="A138">
        <f t="shared" si="16"/>
        <v>11</v>
      </c>
      <c r="B138" s="2">
        <v>2</v>
      </c>
      <c r="D138" s="3">
        <f t="shared" si="21"/>
        <v>11.166666666666666</v>
      </c>
      <c r="F138">
        <f>IF(入力!$B$2="男",成長曲線_男!E136,成長曲線_女!E136)</f>
        <v>144.80000000000001</v>
      </c>
      <c r="G138">
        <f>IF(入力!$B$2="男",成長曲線_男!F136,成長曲線_女!F136)</f>
        <v>6.7</v>
      </c>
      <c r="H138">
        <f>IF(入力!$B$2="男",成長曲線_男!G136,成長曲線_女!G136)</f>
        <v>158.20000000000002</v>
      </c>
      <c r="I138">
        <f>IF(入力!$B$2="男",成長曲線_男!H136,成長曲線_女!H136)</f>
        <v>151.5</v>
      </c>
      <c r="J138">
        <f>IF(入力!$B$2="男",成長曲線_男!I136,成長曲線_女!I136)</f>
        <v>138.10000000000002</v>
      </c>
      <c r="K138">
        <f>IF(入力!$B$2="男",成長曲線_男!J136,成長曲線_女!J136)</f>
        <v>131.4</v>
      </c>
      <c r="L138">
        <f>IF(入力!$B$2="男",成長曲線_男!K136,成長曲線_女!K136)</f>
        <v>128.05000000000001</v>
      </c>
      <c r="M138">
        <f>IF(入力!$B$2="男",成長曲線_男!L136,成長曲線_女!L136)</f>
        <v>124.70000000000002</v>
      </c>
      <c r="O138">
        <f>IF(入力!$B$2="男",成長曲線_男!N136,成長曲線_女!N136)</f>
        <v>38.4</v>
      </c>
      <c r="P138">
        <f>IF(入力!$B$2="男",成長曲線_男!O136,成長曲線_女!O136)</f>
        <v>8.07</v>
      </c>
      <c r="Q138">
        <f>IF(入力!$B$2="男",成長曲線_男!P136,成長曲線_女!P136)</f>
        <v>54.54</v>
      </c>
      <c r="R138">
        <f>IF(入力!$B$2="男",成長曲線_男!Q136,成長曲線_女!Q136)</f>
        <v>46.47</v>
      </c>
      <c r="S138">
        <f>IF(入力!$B$2="男",成長曲線_男!R136,成長曲線_女!R136)</f>
        <v>30.33</v>
      </c>
      <c r="T138">
        <f>IF(入力!$B$2="男",成長曲線_男!S136,成長曲線_女!S136)</f>
        <v>22.259999999999998</v>
      </c>
      <c r="AE138">
        <f>IF($D138*12&lt;150,IF($D138*12&lt;IF(入力!$B$2="男",78,69),2,3),4)+IF(入力!$B$2="男",0,4)</f>
        <v>7</v>
      </c>
      <c r="AF138">
        <f t="shared" si="18"/>
        <v>-1.5729552717200024</v>
      </c>
      <c r="AG138">
        <f>IF($D138*12&lt;90,IF($D138*12&lt;26.75,IF($D138*12&lt;9.5,IF($D138*12&lt;2.5,2,3),4),5),6)+IF(入力!$B$2="男",0,6)+IF(AND(入力!$B$2&lt;&gt;"男",$D138*12&gt;=150),1,0)</f>
        <v>12</v>
      </c>
      <c r="AH138">
        <f t="shared" si="19"/>
        <v>17.675581782319998</v>
      </c>
      <c r="AI138">
        <f>IF(($D138*12)&lt;90,2,3)+IF(入力!$B$2="男",0,3)</f>
        <v>6</v>
      </c>
      <c r="AJ138">
        <f t="shared" si="20"/>
        <v>0.13806859304239993</v>
      </c>
      <c r="AK138">
        <f t="shared" si="17"/>
        <v>14.217048872131473</v>
      </c>
      <c r="AL138">
        <f t="shared" si="15"/>
        <v>15.120899354013297</v>
      </c>
      <c r="AM138">
        <f t="shared" si="15"/>
        <v>16.204328552657405</v>
      </c>
      <c r="AN138">
        <f t="shared" si="15"/>
        <v>17.675581782319998</v>
      </c>
      <c r="AO138">
        <f t="shared" si="15"/>
        <v>19.548130747860771</v>
      </c>
      <c r="AP138">
        <f t="shared" si="15"/>
        <v>21.748597016327643</v>
      </c>
      <c r="AQ138">
        <f t="shared" si="15"/>
        <v>24.679432206985993</v>
      </c>
    </row>
    <row r="139" spans="1:43" x14ac:dyDescent="0.15">
      <c r="A139">
        <f t="shared" si="16"/>
        <v>11</v>
      </c>
      <c r="B139" s="2">
        <v>3</v>
      </c>
      <c r="D139" s="3">
        <f t="shared" si="21"/>
        <v>11.25</v>
      </c>
      <c r="F139">
        <f>IF(入力!$B$2="男",成長曲線_男!E137,成長曲線_女!E137)</f>
        <v>145.4</v>
      </c>
      <c r="G139">
        <f>IF(入力!$B$2="男",成長曲線_男!F137,成長曲線_女!F137)</f>
        <v>6.7</v>
      </c>
      <c r="H139">
        <f>IF(入力!$B$2="男",成長曲線_男!G137,成長曲線_女!G137)</f>
        <v>158.80000000000001</v>
      </c>
      <c r="I139">
        <f>IF(入力!$B$2="男",成長曲線_男!H137,成長曲線_女!H137)</f>
        <v>152.1</v>
      </c>
      <c r="J139">
        <f>IF(入力!$B$2="男",成長曲線_男!I137,成長曲線_女!I137)</f>
        <v>138.70000000000002</v>
      </c>
      <c r="K139">
        <f>IF(入力!$B$2="男",成長曲線_男!J137,成長曲線_女!J137)</f>
        <v>132</v>
      </c>
      <c r="L139">
        <f>IF(入力!$B$2="男",成長曲線_男!K137,成長曲線_女!K137)</f>
        <v>128.65</v>
      </c>
      <c r="M139">
        <f>IF(入力!$B$2="男",成長曲線_男!L137,成長曲線_女!L137)</f>
        <v>125.30000000000001</v>
      </c>
      <c r="O139">
        <f>IF(入力!$B$2="男",成長曲線_男!N137,成長曲線_女!N137)</f>
        <v>38.799999999999997</v>
      </c>
      <c r="P139">
        <f>IF(入力!$B$2="男",成長曲線_男!O137,成長曲線_女!O137)</f>
        <v>8.14</v>
      </c>
      <c r="Q139">
        <f>IF(入力!$B$2="男",成長曲線_男!P137,成長曲線_女!P137)</f>
        <v>55.08</v>
      </c>
      <c r="R139">
        <f>IF(入力!$B$2="男",成長曲線_男!Q137,成長曲線_女!Q137)</f>
        <v>46.94</v>
      </c>
      <c r="S139">
        <f>IF(入力!$B$2="男",成長曲線_男!R137,成長曲線_女!R137)</f>
        <v>30.659999999999997</v>
      </c>
      <c r="T139">
        <f>IF(入力!$B$2="男",成長曲線_男!S137,成長曲線_女!S137)</f>
        <v>22.519999999999996</v>
      </c>
      <c r="AE139">
        <f>IF($D139*12&lt;150,IF($D139*12&lt;IF(入力!$B$2="男",78,69),2,3),4)+IF(入力!$B$2="男",0,4)</f>
        <v>7</v>
      </c>
      <c r="AF139">
        <f t="shared" si="18"/>
        <v>-1.5548290809999985</v>
      </c>
      <c r="AG139">
        <f>IF($D139*12&lt;90,IF($D139*12&lt;26.75,IF($D139*12&lt;9.5,IF($D139*12&lt;2.5,2,3),4),5),6)+IF(入力!$B$2="男",0,6)+IF(AND(入力!$B$2&lt;&gt;"男",$D139*12&gt;=150),1,0)</f>
        <v>12</v>
      </c>
      <c r="AH139">
        <f t="shared" si="19"/>
        <v>17.741369698749999</v>
      </c>
      <c r="AI139">
        <f>IF(($D139*12)&lt;90,2,3)+IF(入力!$B$2="男",0,3)</f>
        <v>6</v>
      </c>
      <c r="AJ139">
        <f t="shared" si="20"/>
        <v>0.13819187066249991</v>
      </c>
      <c r="AK139">
        <f t="shared" si="17"/>
        <v>14.262109341765157</v>
      </c>
      <c r="AL139">
        <f t="shared" si="15"/>
        <v>15.172200364511488</v>
      </c>
      <c r="AM139">
        <f t="shared" ref="AL139:AQ181" si="22">$AH139*(1+$AF139*$AJ139*AM$3)^(1/$AF139)</f>
        <v>16.262394062306573</v>
      </c>
      <c r="AN139">
        <f t="shared" si="22"/>
        <v>17.741369698749999</v>
      </c>
      <c r="AO139">
        <f t="shared" si="22"/>
        <v>19.620896362643514</v>
      </c>
      <c r="AP139">
        <f t="shared" si="22"/>
        <v>21.824817994555143</v>
      </c>
      <c r="AQ139">
        <f t="shared" si="22"/>
        <v>24.751052898558079</v>
      </c>
    </row>
    <row r="140" spans="1:43" x14ac:dyDescent="0.15">
      <c r="A140">
        <f t="shared" si="16"/>
        <v>11</v>
      </c>
      <c r="B140" s="2">
        <v>4</v>
      </c>
      <c r="D140" s="3">
        <f t="shared" si="21"/>
        <v>11.333333333333334</v>
      </c>
      <c r="F140">
        <f>IF(入力!$B$2="男",成長曲線_男!E138,成長曲線_女!E138)</f>
        <v>146</v>
      </c>
      <c r="G140">
        <f>IF(入力!$B$2="男",成長曲線_男!F138,成長曲線_女!F138)</f>
        <v>6.7</v>
      </c>
      <c r="H140">
        <f>IF(入力!$B$2="男",成長曲線_男!G138,成長曲線_女!G138)</f>
        <v>159.4</v>
      </c>
      <c r="I140">
        <f>IF(入力!$B$2="男",成長曲線_男!H138,成長曲線_女!H138)</f>
        <v>152.69999999999999</v>
      </c>
      <c r="J140">
        <f>IF(入力!$B$2="男",成長曲線_男!I138,成長曲線_女!I138)</f>
        <v>139.30000000000001</v>
      </c>
      <c r="K140">
        <f>IF(入力!$B$2="男",成長曲線_男!J138,成長曲線_女!J138)</f>
        <v>132.6</v>
      </c>
      <c r="L140">
        <f>IF(入力!$B$2="男",成長曲線_男!K138,成長曲線_女!K138)</f>
        <v>129.25</v>
      </c>
      <c r="M140">
        <f>IF(入力!$B$2="男",成長曲線_男!L138,成長曲線_女!L138)</f>
        <v>125.9</v>
      </c>
      <c r="O140">
        <f>IF(入力!$B$2="男",成長曲線_男!N138,成長曲線_女!N138)</f>
        <v>39.200000000000003</v>
      </c>
      <c r="P140">
        <f>IF(入力!$B$2="男",成長曲線_男!O138,成長曲線_女!O138)</f>
        <v>8.2100000000000009</v>
      </c>
      <c r="Q140">
        <f>IF(入力!$B$2="男",成長曲線_男!P138,成長曲線_女!P138)</f>
        <v>55.620000000000005</v>
      </c>
      <c r="R140">
        <f>IF(入力!$B$2="男",成長曲線_男!Q138,成長曲線_女!Q138)</f>
        <v>47.410000000000004</v>
      </c>
      <c r="S140">
        <f>IF(入力!$B$2="男",成長曲線_男!R138,成長曲線_女!R138)</f>
        <v>30.990000000000002</v>
      </c>
      <c r="T140">
        <f>IF(入力!$B$2="男",成長曲線_男!S138,成長曲線_女!S138)</f>
        <v>22.78</v>
      </c>
      <c r="AE140">
        <f>IF($D140*12&lt;150,IF($D140*12&lt;IF(入力!$B$2="男",78,69),2,3),4)+IF(入力!$B$2="男",0,4)</f>
        <v>7</v>
      </c>
      <c r="AF140">
        <f t="shared" si="18"/>
        <v>-1.537041761080002</v>
      </c>
      <c r="AG140">
        <f>IF($D140*12&lt;90,IF($D140*12&lt;26.75,IF($D140*12&lt;9.5,IF($D140*12&lt;2.5,2,3),4),5),6)+IF(入力!$B$2="男",0,6)+IF(AND(入力!$B$2&lt;&gt;"男",$D140*12&gt;=150),1,0)</f>
        <v>12</v>
      </c>
      <c r="AH140">
        <f t="shared" si="19"/>
        <v>17.807778170480002</v>
      </c>
      <c r="AI140">
        <f>IF(($D140*12)&lt;90,2,3)+IF(入力!$B$2="男",0,3)</f>
        <v>6</v>
      </c>
      <c r="AJ140">
        <f t="shared" si="20"/>
        <v>0.13830352619359992</v>
      </c>
      <c r="AK140">
        <f t="shared" si="17"/>
        <v>14.307901290872568</v>
      </c>
      <c r="AL140">
        <f t="shared" si="22"/>
        <v>15.224213592433927</v>
      </c>
      <c r="AM140">
        <f t="shared" si="22"/>
        <v>16.321138477600524</v>
      </c>
      <c r="AN140">
        <f t="shared" si="22"/>
        <v>17.807778170480002</v>
      </c>
      <c r="AO140">
        <f t="shared" si="22"/>
        <v>19.694201444366154</v>
      </c>
      <c r="AP140">
        <f t="shared" si="22"/>
        <v>21.901510992322741</v>
      </c>
      <c r="AQ140">
        <f t="shared" si="22"/>
        <v>24.823209985462135</v>
      </c>
    </row>
    <row r="141" spans="1:43" x14ac:dyDescent="0.15">
      <c r="A141">
        <f t="shared" si="16"/>
        <v>11</v>
      </c>
      <c r="B141" s="2">
        <v>5</v>
      </c>
      <c r="D141" s="3">
        <f t="shared" si="21"/>
        <v>11.416666666666666</v>
      </c>
      <c r="F141">
        <f>IF(入力!$B$2="男",成長曲線_男!E139,成長曲線_女!E139)</f>
        <v>146.5</v>
      </c>
      <c r="G141">
        <f>IF(入力!$B$2="男",成長曲線_男!F139,成長曲線_女!F139)</f>
        <v>6.7</v>
      </c>
      <c r="H141">
        <f>IF(入力!$B$2="男",成長曲線_男!G139,成長曲線_女!G139)</f>
        <v>159.9</v>
      </c>
      <c r="I141">
        <f>IF(入力!$B$2="男",成長曲線_男!H139,成長曲線_女!H139)</f>
        <v>153.19999999999999</v>
      </c>
      <c r="J141">
        <f>IF(入力!$B$2="男",成長曲線_男!I139,成長曲線_女!I139)</f>
        <v>139.80000000000001</v>
      </c>
      <c r="K141">
        <f>IF(入力!$B$2="男",成長曲線_男!J139,成長曲線_女!J139)</f>
        <v>133.1</v>
      </c>
      <c r="L141">
        <f>IF(入力!$B$2="男",成長曲線_男!K139,成長曲線_女!K139)</f>
        <v>129.75</v>
      </c>
      <c r="M141">
        <f>IF(入力!$B$2="男",成長曲線_男!L139,成長曲線_女!L139)</f>
        <v>126.4</v>
      </c>
      <c r="O141">
        <f>IF(入力!$B$2="男",成長曲線_男!N139,成長曲線_女!N139)</f>
        <v>39.700000000000003</v>
      </c>
      <c r="P141">
        <f>IF(入力!$B$2="男",成長曲線_男!O139,成長曲線_女!O139)</f>
        <v>8.2799999999999994</v>
      </c>
      <c r="Q141">
        <f>IF(入力!$B$2="男",成長曲線_男!P139,成長曲線_女!P139)</f>
        <v>56.260000000000005</v>
      </c>
      <c r="R141">
        <f>IF(入力!$B$2="男",成長曲線_男!Q139,成長曲線_女!Q139)</f>
        <v>47.980000000000004</v>
      </c>
      <c r="S141">
        <f>IF(入力!$B$2="男",成長曲線_男!R139,成長曲線_女!R139)</f>
        <v>31.42</v>
      </c>
      <c r="T141">
        <f>IF(入力!$B$2="男",成長曲線_男!S139,成長曲線_女!S139)</f>
        <v>23.140000000000004</v>
      </c>
      <c r="AE141">
        <f>IF($D141*12&lt;150,IF($D141*12&lt;IF(入力!$B$2="男",78,69),2,3),4)+IF(入力!$B$2="男",0,4)</f>
        <v>7</v>
      </c>
      <c r="AF141">
        <f t="shared" si="18"/>
        <v>-1.5196283380400049</v>
      </c>
      <c r="AG141">
        <f>IF($D141*12&lt;90,IF($D141*12&lt;26.75,IF($D141*12&lt;9.5,IF($D141*12&lt;2.5,2,3),4),5),6)+IF(入力!$B$2="男",0,6)+IF(AND(入力!$B$2&lt;&gt;"男",$D141*12&gt;=150),1,0)</f>
        <v>12</v>
      </c>
      <c r="AH141">
        <f t="shared" si="19"/>
        <v>17.874788959490004</v>
      </c>
      <c r="AI141">
        <f>IF(($D141*12)&lt;90,2,3)+IF(入力!$B$2="男",0,3)</f>
        <v>6</v>
      </c>
      <c r="AJ141">
        <f t="shared" si="20"/>
        <v>0.13840368613429996</v>
      </c>
      <c r="AK141">
        <f t="shared" si="17"/>
        <v>14.354424027019574</v>
      </c>
      <c r="AL141">
        <f t="shared" si="22"/>
        <v>15.276931283773502</v>
      </c>
      <c r="AM141">
        <f t="shared" si="22"/>
        <v>16.380547738399194</v>
      </c>
      <c r="AN141">
        <f t="shared" si="22"/>
        <v>17.874788959490004</v>
      </c>
      <c r="AO141">
        <f t="shared" si="22"/>
        <v>19.768030734055191</v>
      </c>
      <c r="AP141">
        <f t="shared" si="22"/>
        <v>21.978676984315268</v>
      </c>
      <c r="AQ141">
        <f t="shared" si="22"/>
        <v>24.895946017468976</v>
      </c>
    </row>
    <row r="142" spans="1:43" x14ac:dyDescent="0.15">
      <c r="A142">
        <f t="shared" si="16"/>
        <v>11</v>
      </c>
      <c r="B142" s="2">
        <v>6</v>
      </c>
      <c r="D142" s="3">
        <f t="shared" si="21"/>
        <v>11.5</v>
      </c>
      <c r="F142">
        <f>IF(入力!$B$2="男",成長曲線_男!E140,成長曲線_女!E140)</f>
        <v>147.1</v>
      </c>
      <c r="G142">
        <f>IF(入力!$B$2="男",成長曲線_男!F140,成長曲線_女!F140)</f>
        <v>6.7</v>
      </c>
      <c r="H142">
        <f>IF(入力!$B$2="男",成長曲線_男!G140,成長曲線_女!G140)</f>
        <v>160.5</v>
      </c>
      <c r="I142">
        <f>IF(入力!$B$2="男",成長曲線_男!H140,成長曲線_女!H140)</f>
        <v>153.79999999999998</v>
      </c>
      <c r="J142">
        <f>IF(入力!$B$2="男",成長曲線_男!I140,成長曲線_女!I140)</f>
        <v>140.4</v>
      </c>
      <c r="K142">
        <f>IF(入力!$B$2="男",成長曲線_男!J140,成長曲線_女!J140)</f>
        <v>133.69999999999999</v>
      </c>
      <c r="L142">
        <f>IF(入力!$B$2="男",成長曲線_男!K140,成長曲線_女!K140)</f>
        <v>130.35</v>
      </c>
      <c r="M142">
        <f>IF(入力!$B$2="男",成長曲線_男!L140,成長曲線_女!L140)</f>
        <v>127</v>
      </c>
      <c r="O142">
        <f>IF(入力!$B$2="男",成長曲線_男!N140,成長曲線_女!N140)</f>
        <v>40.1</v>
      </c>
      <c r="P142">
        <f>IF(入力!$B$2="男",成長曲線_男!O140,成長曲線_女!O140)</f>
        <v>8.35</v>
      </c>
      <c r="Q142">
        <f>IF(入力!$B$2="男",成長曲線_男!P140,成長曲線_女!P140)</f>
        <v>56.8</v>
      </c>
      <c r="R142">
        <f>IF(入力!$B$2="男",成長曲線_男!Q140,成長曲線_女!Q140)</f>
        <v>48.45</v>
      </c>
      <c r="S142">
        <f>IF(入力!$B$2="男",成長曲線_男!R140,成長曲線_女!R140)</f>
        <v>31.75</v>
      </c>
      <c r="T142">
        <f>IF(入力!$B$2="男",成長曲線_男!S140,成長曲線_女!S140)</f>
        <v>23.400000000000002</v>
      </c>
      <c r="AE142">
        <f>IF($D142*12&lt;150,IF($D142*12&lt;IF(入力!$B$2="男",78,69),2,3),4)+IF(入力!$B$2="男",0,4)</f>
        <v>7</v>
      </c>
      <c r="AF142">
        <f t="shared" si="18"/>
        <v>-1.502623837959999</v>
      </c>
      <c r="AG142">
        <f>IF($D142*12&lt;90,IF($D142*12&lt;26.75,IF($D142*12&lt;9.5,IF($D142*12&lt;2.5,2,3),4),5),6)+IF(入力!$B$2="男",0,6)+IF(AND(入力!$B$2&lt;&gt;"男",$D142*12&gt;=150),1,0)</f>
        <v>12</v>
      </c>
      <c r="AH142">
        <f t="shared" si="19"/>
        <v>17.942383827760001</v>
      </c>
      <c r="AI142">
        <f>IF(($D142*12)&lt;90,2,3)+IF(入力!$B$2="男",0,3)</f>
        <v>6</v>
      </c>
      <c r="AJ142">
        <f t="shared" si="20"/>
        <v>0.13849247698319994</v>
      </c>
      <c r="AK142">
        <f t="shared" si="17"/>
        <v>14.401677285565354</v>
      </c>
      <c r="AL142">
        <f t="shared" si="22"/>
        <v>15.330345901563357</v>
      </c>
      <c r="AM142">
        <f t="shared" si="22"/>
        <v>16.440607850541042</v>
      </c>
      <c r="AN142">
        <f t="shared" si="22"/>
        <v>17.942383827760001</v>
      </c>
      <c r="AO142">
        <f t="shared" si="22"/>
        <v>19.842368985717272</v>
      </c>
      <c r="AP142">
        <f t="shared" si="22"/>
        <v>22.05631678041507</v>
      </c>
      <c r="AQ142">
        <f t="shared" si="22"/>
        <v>24.96930200849939</v>
      </c>
    </row>
    <row r="143" spans="1:43" x14ac:dyDescent="0.15">
      <c r="A143">
        <f t="shared" si="16"/>
        <v>11</v>
      </c>
      <c r="B143" s="2">
        <v>7</v>
      </c>
      <c r="D143" s="3">
        <f t="shared" si="21"/>
        <v>11.583333333333334</v>
      </c>
      <c r="F143">
        <f>IF(入力!$B$2="男",成長曲線_男!E141,成長曲線_女!E141)</f>
        <v>147.5</v>
      </c>
      <c r="G143">
        <f>IF(入力!$B$2="男",成長曲線_男!F141,成長曲線_女!F141)</f>
        <v>6.6</v>
      </c>
      <c r="H143">
        <f>IF(入力!$B$2="男",成長曲線_男!G141,成長曲線_女!G141)</f>
        <v>160.69999999999999</v>
      </c>
      <c r="I143">
        <f>IF(入力!$B$2="男",成長曲線_男!H141,成長曲線_女!H141)</f>
        <v>154.1</v>
      </c>
      <c r="J143">
        <f>IF(入力!$B$2="男",成長曲線_男!I141,成長曲線_女!I141)</f>
        <v>140.9</v>
      </c>
      <c r="K143">
        <f>IF(入力!$B$2="男",成長曲線_男!J141,成長曲線_女!J141)</f>
        <v>134.30000000000001</v>
      </c>
      <c r="L143">
        <f>IF(入力!$B$2="男",成長曲線_男!K141,成長曲線_女!K141)</f>
        <v>131</v>
      </c>
      <c r="M143">
        <f>IF(入力!$B$2="男",成長曲線_男!L141,成長曲線_女!L141)</f>
        <v>127.7</v>
      </c>
      <c r="O143">
        <f>IF(入力!$B$2="男",成長曲線_男!N141,成長曲線_女!N141)</f>
        <v>40.5</v>
      </c>
      <c r="P143">
        <f>IF(入力!$B$2="男",成長曲線_男!O141,成長曲線_女!O141)</f>
        <v>8.3699999999999992</v>
      </c>
      <c r="Q143">
        <f>IF(入力!$B$2="男",成長曲線_男!P141,成長曲線_女!P141)</f>
        <v>57.239999999999995</v>
      </c>
      <c r="R143">
        <f>IF(入力!$B$2="男",成長曲線_男!Q141,成長曲線_女!Q141)</f>
        <v>48.87</v>
      </c>
      <c r="S143">
        <f>IF(入力!$B$2="男",成長曲線_男!R141,成長曲線_女!R141)</f>
        <v>32.130000000000003</v>
      </c>
      <c r="T143">
        <f>IF(入力!$B$2="男",成長曲線_男!S141,成長曲線_女!S141)</f>
        <v>23.76</v>
      </c>
      <c r="AE143">
        <f>IF($D143*12&lt;150,IF($D143*12&lt;IF(入力!$B$2="男",78,69),2,3),4)+IF(入力!$B$2="男",0,4)</f>
        <v>7</v>
      </c>
      <c r="AF143">
        <f t="shared" si="18"/>
        <v>-1.4860632869200048</v>
      </c>
      <c r="AG143">
        <f>IF($D143*12&lt;90,IF($D143*12&lt;26.75,IF($D143*12&lt;9.5,IF($D143*12&lt;2.5,2,3),4),5),6)+IF(入力!$B$2="男",0,6)+IF(AND(入力!$B$2&lt;&gt;"男",$D143*12&gt;=150),1,0)</f>
        <v>12</v>
      </c>
      <c r="AH143">
        <f t="shared" si="19"/>
        <v>18.010544537269997</v>
      </c>
      <c r="AI143">
        <f>IF(($D143*12)&lt;90,2,3)+IF(入力!$B$2="男",0,3)</f>
        <v>6</v>
      </c>
      <c r="AJ143">
        <f t="shared" si="20"/>
        <v>0.13857002523889989</v>
      </c>
      <c r="AK143">
        <f t="shared" si="17"/>
        <v>14.44966121196487</v>
      </c>
      <c r="AL143">
        <f t="shared" si="22"/>
        <v>15.384450114652861</v>
      </c>
      <c r="AM143">
        <f t="shared" si="22"/>
        <v>16.501304881177575</v>
      </c>
      <c r="AN143">
        <f t="shared" si="22"/>
        <v>18.010544537269997</v>
      </c>
      <c r="AO143">
        <f t="shared" si="22"/>
        <v>19.917200964320237</v>
      </c>
      <c r="AP143">
        <f t="shared" si="22"/>
        <v>22.134431021458482</v>
      </c>
      <c r="AQ143">
        <f t="shared" si="22"/>
        <v>25.043317500691405</v>
      </c>
    </row>
    <row r="144" spans="1:43" x14ac:dyDescent="0.15">
      <c r="A144">
        <f t="shared" si="16"/>
        <v>11</v>
      </c>
      <c r="B144" s="2">
        <v>8</v>
      </c>
      <c r="D144" s="3">
        <f t="shared" si="21"/>
        <v>11.666666666666666</v>
      </c>
      <c r="F144">
        <f>IF(入力!$B$2="男",成長曲線_男!E142,成長曲線_女!E142)</f>
        <v>147.9</v>
      </c>
      <c r="G144">
        <f>IF(入力!$B$2="男",成長曲線_男!F142,成長曲線_女!F142)</f>
        <v>6.5</v>
      </c>
      <c r="H144">
        <f>IF(入力!$B$2="男",成長曲線_男!G142,成長曲線_女!G142)</f>
        <v>160.9</v>
      </c>
      <c r="I144">
        <f>IF(入力!$B$2="男",成長曲線_男!H142,成長曲線_女!H142)</f>
        <v>154.4</v>
      </c>
      <c r="J144">
        <f>IF(入力!$B$2="男",成長曲線_男!I142,成長曲線_女!I142)</f>
        <v>141.4</v>
      </c>
      <c r="K144">
        <f>IF(入力!$B$2="男",成長曲線_男!J142,成長曲線_女!J142)</f>
        <v>134.9</v>
      </c>
      <c r="L144">
        <f>IF(入力!$B$2="男",成長曲線_男!K142,成長曲線_女!K142)</f>
        <v>131.65</v>
      </c>
      <c r="M144">
        <f>IF(入力!$B$2="男",成長曲線_男!L142,成長曲線_女!L142)</f>
        <v>128.4</v>
      </c>
      <c r="O144">
        <f>IF(入力!$B$2="男",成長曲線_男!N142,成長曲線_女!N142)</f>
        <v>40.9</v>
      </c>
      <c r="P144">
        <f>IF(入力!$B$2="男",成長曲線_男!O142,成長曲線_女!O142)</f>
        <v>8.39</v>
      </c>
      <c r="Q144">
        <f>IF(入力!$B$2="男",成長曲線_男!P142,成長曲線_女!P142)</f>
        <v>57.68</v>
      </c>
      <c r="R144">
        <f>IF(入力!$B$2="男",成長曲線_男!Q142,成長曲線_女!Q142)</f>
        <v>49.29</v>
      </c>
      <c r="S144">
        <f>IF(入力!$B$2="男",成長曲線_男!R142,成長曲線_女!R142)</f>
        <v>32.51</v>
      </c>
      <c r="T144">
        <f>IF(入力!$B$2="男",成長曲線_男!S142,成長曲線_女!S142)</f>
        <v>24.119999999999997</v>
      </c>
      <c r="AE144">
        <f>IF($D144*12&lt;150,IF($D144*12&lt;IF(入力!$B$2="男",78,69),2,3),4)+IF(入力!$B$2="男",0,4)</f>
        <v>7</v>
      </c>
      <c r="AF144">
        <f t="shared" si="18"/>
        <v>-1.4699817109999964</v>
      </c>
      <c r="AG144">
        <f>IF($D144*12&lt;90,IF($D144*12&lt;26.75,IF($D144*12&lt;9.5,IF($D144*12&lt;2.5,2,3),4),5),6)+IF(入力!$B$2="男",0,6)+IF(AND(入力!$B$2&lt;&gt;"男",$D144*12&gt;=150),1,0)</f>
        <v>12</v>
      </c>
      <c r="AH144">
        <f t="shared" si="19"/>
        <v>18.079252850000003</v>
      </c>
      <c r="AI144">
        <f>IF(($D144*12)&lt;90,2,3)+IF(入力!$B$2="男",0,3)</f>
        <v>6</v>
      </c>
      <c r="AJ144">
        <f t="shared" si="20"/>
        <v>0.13863645739999994</v>
      </c>
      <c r="AK144">
        <f t="shared" si="17"/>
        <v>14.498376342010619</v>
      </c>
      <c r="AL144">
        <f t="shared" si="22"/>
        <v>15.439236785590385</v>
      </c>
      <c r="AM144">
        <f t="shared" si="22"/>
        <v>16.562624953925273</v>
      </c>
      <c r="AN144">
        <f t="shared" si="22"/>
        <v>18.079252850000003</v>
      </c>
      <c r="AO144">
        <f t="shared" si="22"/>
        <v>19.992511443995397</v>
      </c>
      <c r="AP144">
        <f t="shared" si="22"/>
        <v>22.213020177813146</v>
      </c>
      <c r="AQ144">
        <f t="shared" si="22"/>
        <v>25.118030639884044</v>
      </c>
    </row>
    <row r="145" spans="1:43" x14ac:dyDescent="0.15">
      <c r="A145">
        <f t="shared" si="16"/>
        <v>11</v>
      </c>
      <c r="B145" s="2">
        <v>9</v>
      </c>
      <c r="D145" s="3">
        <f t="shared" si="21"/>
        <v>11.75</v>
      </c>
      <c r="F145">
        <f>IF(入力!$B$2="男",成長曲線_男!E143,成長曲線_女!E143)</f>
        <v>148.4</v>
      </c>
      <c r="G145">
        <f>IF(入力!$B$2="男",成長曲線_男!F143,成長曲線_女!F143)</f>
        <v>6.5</v>
      </c>
      <c r="H145">
        <f>IF(入力!$B$2="男",成長曲線_男!G143,成長曲線_女!G143)</f>
        <v>161.4</v>
      </c>
      <c r="I145">
        <f>IF(入力!$B$2="男",成長曲線_男!H143,成長曲線_女!H143)</f>
        <v>154.9</v>
      </c>
      <c r="J145">
        <f>IF(入力!$B$2="男",成長曲線_男!I143,成長曲線_女!I143)</f>
        <v>141.9</v>
      </c>
      <c r="K145">
        <f>IF(入力!$B$2="男",成長曲線_男!J143,成長曲線_女!J143)</f>
        <v>135.4</v>
      </c>
      <c r="L145">
        <f>IF(入力!$B$2="男",成長曲線_男!K143,成長曲線_女!K143)</f>
        <v>132.15</v>
      </c>
      <c r="M145">
        <f>IF(入力!$B$2="男",成長曲線_男!L143,成長曲線_女!L143)</f>
        <v>128.9</v>
      </c>
      <c r="O145">
        <f>IF(入力!$B$2="男",成長曲線_男!N143,成長曲線_女!N143)</f>
        <v>41.3</v>
      </c>
      <c r="P145">
        <f>IF(入力!$B$2="男",成長曲線_男!O143,成長曲線_女!O143)</f>
        <v>8.41</v>
      </c>
      <c r="Q145">
        <f>IF(入力!$B$2="男",成長曲線_男!P143,成長曲線_女!P143)</f>
        <v>58.12</v>
      </c>
      <c r="R145">
        <f>IF(入力!$B$2="男",成長曲線_男!Q143,成長曲線_女!Q143)</f>
        <v>49.709999999999994</v>
      </c>
      <c r="S145">
        <f>IF(入力!$B$2="男",成長曲線_男!R143,成長曲線_女!R143)</f>
        <v>32.89</v>
      </c>
      <c r="T145">
        <f>IF(入力!$B$2="男",成長曲線_男!S143,成長曲線_女!S143)</f>
        <v>24.479999999999997</v>
      </c>
      <c r="AE145">
        <f>IF($D145*12&lt;150,IF($D145*12&lt;IF(入力!$B$2="男",78,69),2,3),4)+IF(入力!$B$2="男",0,4)</f>
        <v>7</v>
      </c>
      <c r="AF145">
        <f t="shared" si="18"/>
        <v>-1.4544141362800014</v>
      </c>
      <c r="AG145">
        <f>IF($D145*12&lt;90,IF($D145*12&lt;26.75,IF($D145*12&lt;9.5,IF($D145*12&lt;2.5,2,3),4),5),6)+IF(入力!$B$2="男",0,6)+IF(AND(入力!$B$2&lt;&gt;"男",$D145*12&gt;=150),1,0)</f>
        <v>12</v>
      </c>
      <c r="AH145">
        <f t="shared" si="19"/>
        <v>18.148490527929997</v>
      </c>
      <c r="AI145">
        <f>IF(($D145*12)&lt;90,2,3)+IF(入力!$B$2="男",0,3)</f>
        <v>6</v>
      </c>
      <c r="AJ145">
        <f t="shared" si="20"/>
        <v>0.13869189996509995</v>
      </c>
      <c r="AK145">
        <f t="shared" si="17"/>
        <v>14.54782357994902</v>
      </c>
      <c r="AL145">
        <f t="shared" si="22"/>
        <v>15.494698957594755</v>
      </c>
      <c r="AM145">
        <f t="shared" si="22"/>
        <v>16.624554243834329</v>
      </c>
      <c r="AN145">
        <f t="shared" si="22"/>
        <v>18.148490527929997</v>
      </c>
      <c r="AO145">
        <f t="shared" si="22"/>
        <v>20.068285206460693</v>
      </c>
      <c r="AP145">
        <f t="shared" si="22"/>
        <v>22.292084550654081</v>
      </c>
      <c r="AQ145">
        <f t="shared" si="22"/>
        <v>25.193478261415777</v>
      </c>
    </row>
    <row r="146" spans="1:43" x14ac:dyDescent="0.15">
      <c r="A146">
        <f t="shared" si="16"/>
        <v>11</v>
      </c>
      <c r="B146" s="2">
        <v>10</v>
      </c>
      <c r="D146" s="3">
        <f t="shared" si="21"/>
        <v>11.833333333333334</v>
      </c>
      <c r="F146">
        <f>IF(入力!$B$2="男",成長曲線_男!E144,成長曲線_女!E144)</f>
        <v>148.80000000000001</v>
      </c>
      <c r="G146">
        <f>IF(入力!$B$2="男",成長曲線_男!F144,成長曲線_女!F144)</f>
        <v>6.4</v>
      </c>
      <c r="H146">
        <f>IF(入力!$B$2="男",成長曲線_男!G144,成長曲線_女!G144)</f>
        <v>161.60000000000002</v>
      </c>
      <c r="I146">
        <f>IF(入力!$B$2="男",成長曲線_男!H144,成長曲線_女!H144)</f>
        <v>155.20000000000002</v>
      </c>
      <c r="J146">
        <f>IF(入力!$B$2="男",成長曲線_男!I144,成長曲線_女!I144)</f>
        <v>142.4</v>
      </c>
      <c r="K146">
        <f>IF(入力!$B$2="男",成長曲線_男!J144,成長曲線_女!J144)</f>
        <v>136</v>
      </c>
      <c r="L146">
        <f>IF(入力!$B$2="男",成長曲線_男!K144,成長曲線_女!K144)</f>
        <v>132.80000000000001</v>
      </c>
      <c r="M146">
        <f>IF(入力!$B$2="男",成長曲線_男!L144,成長曲線_女!L144)</f>
        <v>129.60000000000002</v>
      </c>
      <c r="O146">
        <f>IF(入力!$B$2="男",成長曲線_男!N144,成長曲線_女!N144)</f>
        <v>41.7</v>
      </c>
      <c r="P146">
        <f>IF(入力!$B$2="男",成長曲線_男!O144,成長曲線_女!O144)</f>
        <v>8.43</v>
      </c>
      <c r="Q146">
        <f>IF(入力!$B$2="男",成長曲線_男!P144,成長曲線_女!P144)</f>
        <v>58.56</v>
      </c>
      <c r="R146">
        <f>IF(入力!$B$2="男",成長曲線_男!Q144,成長曲線_女!Q144)</f>
        <v>50.13</v>
      </c>
      <c r="S146">
        <f>IF(入力!$B$2="男",成長曲線_男!R144,成長曲線_女!R144)</f>
        <v>33.270000000000003</v>
      </c>
      <c r="T146">
        <f>IF(入力!$B$2="男",成長曲線_男!S144,成長曲線_女!S144)</f>
        <v>24.840000000000003</v>
      </c>
      <c r="AE146">
        <f>IF($D146*12&lt;150,IF($D146*12&lt;IF(入力!$B$2="男",78,69),2,3),4)+IF(入力!$B$2="男",0,4)</f>
        <v>7</v>
      </c>
      <c r="AF146">
        <f t="shared" si="18"/>
        <v>-1.439395588840001</v>
      </c>
      <c r="AG146">
        <f>IF($D146*12&lt;90,IF($D146*12&lt;26.75,IF($D146*12&lt;9.5,IF($D146*12&lt;2.5,2,3),4),5),6)+IF(入力!$B$2="男",0,6)+IF(AND(入力!$B$2&lt;&gt;"男",$D146*12&gt;=150),1,0)</f>
        <v>12</v>
      </c>
      <c r="AH146">
        <f t="shared" si="19"/>
        <v>18.21823933304</v>
      </c>
      <c r="AI146">
        <f>IF(($D146*12)&lt;90,2,3)+IF(入力!$B$2="男",0,3)</f>
        <v>6</v>
      </c>
      <c r="AJ146">
        <f t="shared" si="20"/>
        <v>0.13873647943279988</v>
      </c>
      <c r="AK146">
        <f t="shared" si="17"/>
        <v>14.598004174416461</v>
      </c>
      <c r="AL146">
        <f t="shared" si="22"/>
        <v>15.550829840601676</v>
      </c>
      <c r="AM146">
        <f t="shared" si="22"/>
        <v>16.687078972174657</v>
      </c>
      <c r="AN146">
        <f t="shared" si="22"/>
        <v>18.21823933304</v>
      </c>
      <c r="AO146">
        <f t="shared" si="22"/>
        <v>20.144507039664013</v>
      </c>
      <c r="AP146">
        <f t="shared" si="22"/>
        <v>22.37162427582005</v>
      </c>
      <c r="AQ146">
        <f t="shared" si="22"/>
        <v>25.269695985261901</v>
      </c>
    </row>
    <row r="147" spans="1:43" x14ac:dyDescent="0.15">
      <c r="A147">
        <f t="shared" si="16"/>
        <v>11</v>
      </c>
      <c r="B147" s="2">
        <v>11</v>
      </c>
      <c r="D147" s="3">
        <f t="shared" si="21"/>
        <v>11.916666666666666</v>
      </c>
      <c r="F147">
        <f>IF(入力!$B$2="男",成長曲線_男!E145,成長曲線_女!E145)</f>
        <v>149.19999999999999</v>
      </c>
      <c r="G147">
        <f>IF(入力!$B$2="男",成長曲線_男!F145,成長曲線_女!F145)</f>
        <v>6.4</v>
      </c>
      <c r="H147">
        <f>IF(入力!$B$2="男",成長曲線_男!G145,成長曲線_女!G145)</f>
        <v>162</v>
      </c>
      <c r="I147">
        <f>IF(入力!$B$2="男",成長曲線_男!H145,成長曲線_女!H145)</f>
        <v>155.6</v>
      </c>
      <c r="J147">
        <f>IF(入力!$B$2="男",成長曲線_男!I145,成長曲線_女!I145)</f>
        <v>142.79999999999998</v>
      </c>
      <c r="K147">
        <f>IF(入力!$B$2="男",成長曲線_男!J145,成長曲線_女!J145)</f>
        <v>136.39999999999998</v>
      </c>
      <c r="L147">
        <f>IF(入力!$B$2="男",成長曲線_男!K145,成長曲線_女!K145)</f>
        <v>133.19999999999999</v>
      </c>
      <c r="M147">
        <f>IF(入力!$B$2="男",成長曲線_男!L145,成長曲線_女!L145)</f>
        <v>130</v>
      </c>
      <c r="O147">
        <f>IF(入力!$B$2="男",成長曲線_男!N145,成長曲線_女!N145)</f>
        <v>42.1</v>
      </c>
      <c r="P147">
        <f>IF(入力!$B$2="男",成長曲線_男!O145,成長曲線_女!O145)</f>
        <v>8.4499999999999993</v>
      </c>
      <c r="Q147">
        <f>IF(入力!$B$2="男",成長曲線_男!P145,成長曲線_女!P145)</f>
        <v>59</v>
      </c>
      <c r="R147">
        <f>IF(入力!$B$2="男",成長曲線_男!Q145,成長曲線_女!Q145)</f>
        <v>50.55</v>
      </c>
      <c r="S147">
        <f>IF(入力!$B$2="男",成長曲線_男!R145,成長曲線_女!R145)</f>
        <v>33.650000000000006</v>
      </c>
      <c r="T147">
        <f>IF(入力!$B$2="男",成長曲線_男!S145,成長曲線_女!S145)</f>
        <v>25.200000000000003</v>
      </c>
      <c r="AE147">
        <f>IF($D147*12&lt;150,IF($D147*12&lt;IF(入力!$B$2="男",78,69),2,3),4)+IF(入力!$B$2="男",0,4)</f>
        <v>7</v>
      </c>
      <c r="AF147">
        <f t="shared" si="18"/>
        <v>-1.4249610947599978</v>
      </c>
      <c r="AG147">
        <f>IF($D147*12&lt;90,IF($D147*12&lt;26.75,IF($D147*12&lt;9.5,IF($D147*12&lt;2.5,2,3),4),5),6)+IF(入力!$B$2="男",0,6)+IF(AND(入力!$B$2&lt;&gt;"男",$D147*12&gt;=150),1,0)</f>
        <v>12</v>
      </c>
      <c r="AH147">
        <f t="shared" si="19"/>
        <v>18.288481027310002</v>
      </c>
      <c r="AI147">
        <f>IF(($D147*12)&lt;90,2,3)+IF(入力!$B$2="男",0,3)</f>
        <v>6</v>
      </c>
      <c r="AJ147">
        <f t="shared" si="20"/>
        <v>0.13877032230169992</v>
      </c>
      <c r="AK147">
        <f t="shared" si="17"/>
        <v>14.648919692150814</v>
      </c>
      <c r="AL147">
        <f t="shared" si="22"/>
        <v>15.607622796375827</v>
      </c>
      <c r="AM147">
        <f t="shared" si="22"/>
        <v>16.750185401040227</v>
      </c>
      <c r="AN147">
        <f t="shared" si="22"/>
        <v>18.288481027310002</v>
      </c>
      <c r="AO147">
        <f t="shared" si="22"/>
        <v>20.22116173664476</v>
      </c>
      <c r="AP147">
        <f t="shared" si="22"/>
        <v>22.4516393301368</v>
      </c>
      <c r="AQ147">
        <f t="shared" si="22"/>
        <v>25.34671831966488</v>
      </c>
    </row>
    <row r="148" spans="1:43" x14ac:dyDescent="0.15">
      <c r="A148">
        <f t="shared" si="16"/>
        <v>12</v>
      </c>
      <c r="B148" s="2">
        <v>0</v>
      </c>
      <c r="D148" s="3">
        <f t="shared" si="21"/>
        <v>12</v>
      </c>
      <c r="F148">
        <f>IF(入力!$B$2="男",成長曲線_男!E146,成長曲線_女!E146)</f>
        <v>149.6</v>
      </c>
      <c r="G148">
        <f>IF(入力!$B$2="男",成長曲線_男!F146,成長曲線_女!F146)</f>
        <v>6.3</v>
      </c>
      <c r="H148">
        <f>IF(入力!$B$2="男",成長曲線_男!G146,成長曲線_女!G146)</f>
        <v>162.19999999999999</v>
      </c>
      <c r="I148">
        <f>IF(入力!$B$2="男",成長曲線_男!H146,成長曲線_女!H146)</f>
        <v>155.9</v>
      </c>
      <c r="J148">
        <f>IF(入力!$B$2="男",成長曲線_男!I146,成長曲線_女!I146)</f>
        <v>143.29999999999998</v>
      </c>
      <c r="K148">
        <f>IF(入力!$B$2="男",成長曲線_男!J146,成長曲線_女!J146)</f>
        <v>137</v>
      </c>
      <c r="L148">
        <f>IF(入力!$B$2="男",成長曲線_男!K146,成長曲線_女!K146)</f>
        <v>133.85</v>
      </c>
      <c r="M148">
        <f>IF(入力!$B$2="男",成長曲線_男!L146,成長曲線_女!L146)</f>
        <v>130.69999999999999</v>
      </c>
      <c r="O148">
        <f>IF(入力!$B$2="男",成長曲線_男!N146,成長曲線_女!N146)</f>
        <v>42.6</v>
      </c>
      <c r="P148">
        <f>IF(入力!$B$2="男",成長曲線_男!O146,成長曲線_女!O146)</f>
        <v>8.4700000000000006</v>
      </c>
      <c r="Q148">
        <f>IF(入力!$B$2="男",成長曲線_男!P146,成長曲線_女!P146)</f>
        <v>59.540000000000006</v>
      </c>
      <c r="R148">
        <f>IF(入力!$B$2="男",成長曲線_男!Q146,成長曲線_女!Q146)</f>
        <v>51.07</v>
      </c>
      <c r="S148">
        <f>IF(入力!$B$2="男",成長曲線_男!R146,成長曲線_女!R146)</f>
        <v>34.130000000000003</v>
      </c>
      <c r="T148">
        <f>IF(入力!$B$2="男",成長曲線_男!S146,成長曲線_女!S146)</f>
        <v>25.66</v>
      </c>
      <c r="AE148">
        <f>IF($D148*12&lt;150,IF($D148*12&lt;IF(入力!$B$2="男",78,69),2,3),4)+IF(入力!$B$2="男",0,4)</f>
        <v>7</v>
      </c>
      <c r="AF148">
        <f t="shared" si="18"/>
        <v>-1.411145680119998</v>
      </c>
      <c r="AG148">
        <f>IF($D148*12&lt;90,IF($D148*12&lt;26.75,IF($D148*12&lt;9.5,IF($D148*12&lt;2.5,2,3),4),5),6)+IF(入力!$B$2="男",0,6)+IF(AND(入力!$B$2&lt;&gt;"男",$D148*12&gt;=150),1,0)</f>
        <v>12</v>
      </c>
      <c r="AH148">
        <f t="shared" si="19"/>
        <v>18.359197372720004</v>
      </c>
      <c r="AI148">
        <f>IF(($D148*12)&lt;90,2,3)+IF(入力!$B$2="男",0,3)</f>
        <v>6</v>
      </c>
      <c r="AJ148">
        <f t="shared" si="20"/>
        <v>0.13879355507039992</v>
      </c>
      <c r="AK148">
        <f t="shared" si="17"/>
        <v>14.700571989446702</v>
      </c>
      <c r="AL148">
        <f t="shared" si="22"/>
        <v>15.665071322684781</v>
      </c>
      <c r="AM148">
        <f t="shared" si="22"/>
        <v>16.813859827774287</v>
      </c>
      <c r="AN148">
        <f t="shared" si="22"/>
        <v>18.359197372720004</v>
      </c>
      <c r="AO148">
        <f t="shared" si="22"/>
        <v>20.298234094612226</v>
      </c>
      <c r="AP148">
        <f t="shared" si="22"/>
        <v>22.532129540100783</v>
      </c>
      <c r="AQ148">
        <f t="shared" si="22"/>
        <v>25.424578772540553</v>
      </c>
    </row>
    <row r="149" spans="1:43" x14ac:dyDescent="0.15">
      <c r="A149">
        <f t="shared" si="16"/>
        <v>12</v>
      </c>
      <c r="B149" s="2">
        <v>1</v>
      </c>
      <c r="D149" s="3">
        <f t="shared" si="21"/>
        <v>12.083333333333334</v>
      </c>
      <c r="F149">
        <f>IF(入力!$B$2="男",成長曲線_男!E147,成長曲線_女!E147)</f>
        <v>150</v>
      </c>
      <c r="G149">
        <f>IF(入力!$B$2="男",成長曲線_男!F147,成長曲線_女!F147)</f>
        <v>6.2</v>
      </c>
      <c r="H149">
        <f>IF(入力!$B$2="男",成長曲線_男!G147,成長曲線_女!G147)</f>
        <v>162.4</v>
      </c>
      <c r="I149">
        <f>IF(入力!$B$2="男",成長曲線_男!H147,成長曲線_女!H147)</f>
        <v>156.19999999999999</v>
      </c>
      <c r="J149">
        <f>IF(入力!$B$2="男",成長曲線_男!I147,成長曲線_女!I147)</f>
        <v>143.80000000000001</v>
      </c>
      <c r="K149">
        <f>IF(入力!$B$2="男",成長曲線_男!J147,成長曲線_女!J147)</f>
        <v>137.6</v>
      </c>
      <c r="L149">
        <f>IF(入力!$B$2="男",成長曲線_男!K147,成長曲線_女!K147)</f>
        <v>134.5</v>
      </c>
      <c r="M149">
        <f>IF(入力!$B$2="男",成長曲線_男!L147,成長曲線_女!L147)</f>
        <v>131.4</v>
      </c>
      <c r="O149">
        <f>IF(入力!$B$2="男",成長曲線_男!N147,成長曲線_女!N147)</f>
        <v>43</v>
      </c>
      <c r="P149">
        <f>IF(入力!$B$2="男",成長曲線_男!O147,成長曲線_女!O147)</f>
        <v>8.49</v>
      </c>
      <c r="Q149">
        <f>IF(入力!$B$2="男",成長曲線_男!P147,成長曲線_女!P147)</f>
        <v>59.980000000000004</v>
      </c>
      <c r="R149">
        <f>IF(入力!$B$2="男",成長曲線_男!Q147,成長曲線_女!Q147)</f>
        <v>51.49</v>
      </c>
      <c r="S149">
        <f>IF(入力!$B$2="男",成長曲線_男!R147,成長曲線_女!R147)</f>
        <v>34.51</v>
      </c>
      <c r="T149">
        <f>IF(入力!$B$2="男",成長曲線_男!S147,成長曲線_女!S147)</f>
        <v>26.02</v>
      </c>
      <c r="AE149">
        <f>IF($D149*12&lt;150,IF($D149*12&lt;IF(入力!$B$2="男",78,69),2,3),4)+IF(入力!$B$2="男",0,4)</f>
        <v>7</v>
      </c>
      <c r="AF149">
        <f t="shared" si="18"/>
        <v>-1.3979843710000006</v>
      </c>
      <c r="AG149">
        <f>IF($D149*12&lt;90,IF($D149*12&lt;26.75,IF($D149*12&lt;9.5,IF($D149*12&lt;2.5,2,3),4),5),6)+IF(入力!$B$2="男",0,6)+IF(AND(入力!$B$2&lt;&gt;"男",$D149*12&gt;=150),1,0)</f>
        <v>12</v>
      </c>
      <c r="AH149">
        <f t="shared" si="19"/>
        <v>18.430370131250001</v>
      </c>
      <c r="AI149">
        <f>IF(($D149*12)&lt;90,2,3)+IF(入力!$B$2="男",0,3)</f>
        <v>6</v>
      </c>
      <c r="AJ149">
        <f t="shared" si="20"/>
        <v>0.1388063042374999</v>
      </c>
      <c r="AK149">
        <f t="shared" si="17"/>
        <v>14.752963181335936</v>
      </c>
      <c r="AL149">
        <f t="shared" si="22"/>
        <v>15.723169036536087</v>
      </c>
      <c r="AM149">
        <f t="shared" si="22"/>
        <v>16.878088579218666</v>
      </c>
      <c r="AN149">
        <f t="shared" si="22"/>
        <v>18.430370131250001</v>
      </c>
      <c r="AO149">
        <f t="shared" si="22"/>
        <v>20.375708914238267</v>
      </c>
      <c r="AP149">
        <f t="shared" si="22"/>
        <v>22.613094592824591</v>
      </c>
      <c r="AQ149">
        <f t="shared" si="22"/>
        <v>25.503309970073097</v>
      </c>
    </row>
    <row r="150" spans="1:43" x14ac:dyDescent="0.15">
      <c r="A150">
        <f t="shared" si="16"/>
        <v>12</v>
      </c>
      <c r="B150" s="2">
        <v>2</v>
      </c>
      <c r="D150" s="3">
        <f t="shared" si="21"/>
        <v>12.166666666666666</v>
      </c>
      <c r="F150">
        <f>IF(入力!$B$2="男",成長曲線_男!E148,成長曲線_女!E148)</f>
        <v>150.4</v>
      </c>
      <c r="G150">
        <f>IF(入力!$B$2="男",成長曲線_男!F148,成長曲線_女!F148)</f>
        <v>6.2</v>
      </c>
      <c r="H150">
        <f>IF(入力!$B$2="男",成長曲線_男!G148,成長曲線_女!G148)</f>
        <v>162.80000000000001</v>
      </c>
      <c r="I150">
        <f>IF(入力!$B$2="男",成長曲線_男!H148,成長曲線_女!H148)</f>
        <v>156.6</v>
      </c>
      <c r="J150">
        <f>IF(入力!$B$2="男",成長曲線_男!I148,成長曲線_女!I148)</f>
        <v>144.20000000000002</v>
      </c>
      <c r="K150">
        <f>IF(入力!$B$2="男",成長曲線_男!J148,成長曲線_女!J148)</f>
        <v>138</v>
      </c>
      <c r="L150">
        <f>IF(入力!$B$2="男",成長曲線_男!K148,成長曲線_女!K148)</f>
        <v>134.9</v>
      </c>
      <c r="M150">
        <f>IF(入力!$B$2="男",成長曲線_男!L148,成長曲線_女!L148)</f>
        <v>131.80000000000001</v>
      </c>
      <c r="O150">
        <f>IF(入力!$B$2="男",成長曲線_男!N148,成長曲線_女!N148)</f>
        <v>43.4</v>
      </c>
      <c r="P150">
        <f>IF(入力!$B$2="男",成長曲線_男!O148,成長曲線_女!O148)</f>
        <v>8.51</v>
      </c>
      <c r="Q150">
        <f>IF(入力!$B$2="男",成長曲線_男!P148,成長曲線_女!P148)</f>
        <v>60.42</v>
      </c>
      <c r="R150">
        <f>IF(入力!$B$2="男",成長曲線_男!Q148,成長曲線_女!Q148)</f>
        <v>51.91</v>
      </c>
      <c r="S150">
        <f>IF(入力!$B$2="男",成長曲線_男!R148,成長曲線_女!R148)</f>
        <v>34.89</v>
      </c>
      <c r="T150">
        <f>IF(入力!$B$2="男",成長曲線_男!S148,成長曲線_女!S148)</f>
        <v>26.38</v>
      </c>
      <c r="AE150">
        <f>IF($D150*12&lt;150,IF($D150*12&lt;IF(入力!$B$2="男",78,69),2,3),4)+IF(入力!$B$2="男",0,4)</f>
        <v>7</v>
      </c>
      <c r="AF150">
        <f t="shared" si="18"/>
        <v>-1.3855121934800012</v>
      </c>
      <c r="AG150">
        <f>IF($D150*12&lt;90,IF($D150*12&lt;26.75,IF($D150*12&lt;9.5,IF($D150*12&lt;2.5,2,3),4),5),6)+IF(入力!$B$2="男",0,6)+IF(AND(入力!$B$2&lt;&gt;"男",$D150*12&gt;=150),1,0)</f>
        <v>12</v>
      </c>
      <c r="AH150">
        <f t="shared" si="19"/>
        <v>18.501981064880002</v>
      </c>
      <c r="AI150">
        <f>IF(($D150*12)&lt;90,2,3)+IF(入力!$B$2="男",0,3)</f>
        <v>6</v>
      </c>
      <c r="AJ150">
        <f t="shared" si="20"/>
        <v>0.13880869630159992</v>
      </c>
      <c r="AK150">
        <f t="shared" si="17"/>
        <v>14.806095608489318</v>
      </c>
      <c r="AL150">
        <f t="shared" si="22"/>
        <v>15.781909656484709</v>
      </c>
      <c r="AM150">
        <f t="shared" si="22"/>
        <v>16.942858005791621</v>
      </c>
      <c r="AN150">
        <f t="shared" si="22"/>
        <v>18.501981064880002</v>
      </c>
      <c r="AO150">
        <f t="shared" si="22"/>
        <v>20.453570999161961</v>
      </c>
      <c r="AP150">
        <f t="shared" si="22"/>
        <v>22.694534049154466</v>
      </c>
      <c r="AQ150">
        <f t="shared" si="22"/>
        <v>25.582943782039735</v>
      </c>
    </row>
    <row r="151" spans="1:43" x14ac:dyDescent="0.15">
      <c r="A151">
        <f t="shared" si="16"/>
        <v>12</v>
      </c>
      <c r="B151" s="2">
        <v>3</v>
      </c>
      <c r="D151" s="3">
        <f t="shared" si="21"/>
        <v>12.25</v>
      </c>
      <c r="F151">
        <f>IF(入力!$B$2="男",成長曲線_男!E149,成長曲線_女!E149)</f>
        <v>150.9</v>
      </c>
      <c r="G151">
        <f>IF(入力!$B$2="男",成長曲線_男!F149,成長曲線_女!F149)</f>
        <v>6.1</v>
      </c>
      <c r="H151">
        <f>IF(入力!$B$2="男",成長曲線_男!G149,成長曲線_女!G149)</f>
        <v>163.1</v>
      </c>
      <c r="I151">
        <f>IF(入力!$B$2="男",成長曲線_男!H149,成長曲線_女!H149)</f>
        <v>157</v>
      </c>
      <c r="J151">
        <f>IF(入力!$B$2="男",成長曲線_男!I149,成長曲線_女!I149)</f>
        <v>144.80000000000001</v>
      </c>
      <c r="K151">
        <f>IF(入力!$B$2="男",成長曲線_男!J149,成長曲線_女!J149)</f>
        <v>138.70000000000002</v>
      </c>
      <c r="L151">
        <f>IF(入力!$B$2="男",成長曲線_男!K149,成長曲線_女!K149)</f>
        <v>135.65</v>
      </c>
      <c r="M151">
        <f>IF(入力!$B$2="男",成長曲線_男!L149,成長曲線_女!L149)</f>
        <v>132.60000000000002</v>
      </c>
      <c r="O151">
        <f>IF(入力!$B$2="男",成長曲線_男!N149,成長曲線_女!N149)</f>
        <v>43.8</v>
      </c>
      <c r="P151">
        <f>IF(入力!$B$2="男",成長曲線_男!O149,成長曲線_女!O149)</f>
        <v>8.5299999999999994</v>
      </c>
      <c r="Q151">
        <f>IF(入力!$B$2="男",成長曲線_男!P149,成長曲線_女!P149)</f>
        <v>60.86</v>
      </c>
      <c r="R151">
        <f>IF(入力!$B$2="男",成長曲線_男!Q149,成長曲線_女!Q149)</f>
        <v>52.33</v>
      </c>
      <c r="S151">
        <f>IF(入力!$B$2="男",成長曲線_男!R149,成長曲線_女!R149)</f>
        <v>35.269999999999996</v>
      </c>
      <c r="T151">
        <f>IF(入力!$B$2="男",成長曲線_男!S149,成長曲線_女!S149)</f>
        <v>26.74</v>
      </c>
      <c r="AE151">
        <f>IF($D151*12&lt;150,IF($D151*12&lt;IF(入力!$B$2="男",78,69),2,3),4)+IF(入力!$B$2="男",0,4)</f>
        <v>7</v>
      </c>
      <c r="AF151">
        <f t="shared" si="18"/>
        <v>-1.3737641736399953</v>
      </c>
      <c r="AG151">
        <f>IF($D151*12&lt;90,IF($D151*12&lt;26.75,IF($D151*12&lt;9.5,IF($D151*12&lt;2.5,2,3),4),5),6)+IF(入力!$B$2="男",0,6)+IF(AND(入力!$B$2&lt;&gt;"男",$D151*12&gt;=150),1,0)</f>
        <v>12</v>
      </c>
      <c r="AH151">
        <f t="shared" si="19"/>
        <v>18.574011935590001</v>
      </c>
      <c r="AI151">
        <f>IF(($D151*12)&lt;90,2,3)+IF(入力!$B$2="男",0,3)</f>
        <v>6</v>
      </c>
      <c r="AJ151">
        <f t="shared" si="20"/>
        <v>0.13880085776129991</v>
      </c>
      <c r="AK151">
        <f t="shared" si="17"/>
        <v>14.859971801851875</v>
      </c>
      <c r="AL151">
        <f t="shared" si="22"/>
        <v>15.841286984024128</v>
      </c>
      <c r="AM151">
        <f t="shared" si="22"/>
        <v>17.008154475399664</v>
      </c>
      <c r="AN151">
        <f t="shared" si="22"/>
        <v>18.574011935590001</v>
      </c>
      <c r="AO151">
        <f t="shared" si="22"/>
        <v>20.531805155703498</v>
      </c>
      <c r="AP151">
        <f t="shared" si="22"/>
        <v>22.776447358880105</v>
      </c>
      <c r="AQ151">
        <f t="shared" si="22"/>
        <v>25.663511453533996</v>
      </c>
    </row>
    <row r="152" spans="1:43" x14ac:dyDescent="0.15">
      <c r="A152">
        <f t="shared" si="16"/>
        <v>12</v>
      </c>
      <c r="B152" s="2">
        <v>4</v>
      </c>
      <c r="D152" s="3">
        <f t="shared" si="21"/>
        <v>12.333333333333334</v>
      </c>
      <c r="F152">
        <f>IF(入力!$B$2="男",成長曲線_男!E150,成長曲線_女!E150)</f>
        <v>151.30000000000001</v>
      </c>
      <c r="G152">
        <f>IF(入力!$B$2="男",成長曲線_男!F150,成長曲線_女!F150)</f>
        <v>6.1</v>
      </c>
      <c r="H152">
        <f>IF(入力!$B$2="男",成長曲線_男!G150,成長曲線_女!G150)</f>
        <v>163.5</v>
      </c>
      <c r="I152">
        <f>IF(入力!$B$2="男",成長曲線_男!H150,成長曲線_女!H150)</f>
        <v>157.4</v>
      </c>
      <c r="J152">
        <f>IF(入力!$B$2="男",成長曲線_男!I150,成長曲線_女!I150)</f>
        <v>145.20000000000002</v>
      </c>
      <c r="K152">
        <f>IF(入力!$B$2="男",成長曲線_男!J150,成長曲線_女!J150)</f>
        <v>139.10000000000002</v>
      </c>
      <c r="L152">
        <f>IF(入力!$B$2="男",成長曲線_男!K150,成長曲線_女!K150)</f>
        <v>136.05000000000001</v>
      </c>
      <c r="M152">
        <f>IF(入力!$B$2="男",成長曲線_男!L150,成長曲線_女!L150)</f>
        <v>133</v>
      </c>
      <c r="O152">
        <f>IF(入力!$B$2="男",成長曲線_男!N150,成長曲線_女!N150)</f>
        <v>44.2</v>
      </c>
      <c r="P152">
        <f>IF(入力!$B$2="男",成長曲線_男!O150,成長曲線_女!O150)</f>
        <v>8.5500000000000007</v>
      </c>
      <c r="Q152">
        <f>IF(入力!$B$2="男",成長曲線_男!P150,成長曲線_女!P150)</f>
        <v>61.300000000000004</v>
      </c>
      <c r="R152">
        <f>IF(入力!$B$2="男",成長曲線_男!Q150,成長曲線_女!Q150)</f>
        <v>52.75</v>
      </c>
      <c r="S152">
        <f>IF(入力!$B$2="男",成長曲線_男!R150,成長曲線_女!R150)</f>
        <v>35.650000000000006</v>
      </c>
      <c r="T152">
        <f>IF(入力!$B$2="男",成長曲線_男!S150,成長曲線_女!S150)</f>
        <v>27.1</v>
      </c>
      <c r="AE152">
        <f>IF($D152*12&lt;150,IF($D152*12&lt;IF(入力!$B$2="男",78,69),2,3),4)+IF(入力!$B$2="男",0,4)</f>
        <v>7</v>
      </c>
      <c r="AF152">
        <f t="shared" si="18"/>
        <v>-1.3627753375600031</v>
      </c>
      <c r="AG152">
        <f>IF($D152*12&lt;90,IF($D152*12&lt;26.75,IF($D152*12&lt;9.5,IF($D152*12&lt;2.5,2,3),4),5),6)+IF(入力!$B$2="男",0,6)+IF(AND(入力!$B$2&lt;&gt;"男",$D152*12&gt;=150),1,0)</f>
        <v>12</v>
      </c>
      <c r="AH152">
        <f t="shared" si="19"/>
        <v>18.646444505360002</v>
      </c>
      <c r="AI152">
        <f>IF(($D152*12)&lt;90,2,3)+IF(入力!$B$2="男",0,3)</f>
        <v>6</v>
      </c>
      <c r="AJ152">
        <f t="shared" si="20"/>
        <v>0.13878291511519997</v>
      </c>
      <c r="AK152">
        <f t="shared" si="17"/>
        <v>14.914594445040462</v>
      </c>
      <c r="AL152">
        <f t="shared" si="22"/>
        <v>15.90129488408094</v>
      </c>
      <c r="AM152">
        <f t="shared" si="22"/>
        <v>17.073964367190122</v>
      </c>
      <c r="AN152">
        <f t="shared" si="22"/>
        <v>18.646444505360002</v>
      </c>
      <c r="AO152">
        <f t="shared" si="22"/>
        <v>20.610396192784663</v>
      </c>
      <c r="AP152">
        <f t="shared" si="22"/>
        <v>22.858833877968234</v>
      </c>
      <c r="AQ152">
        <f t="shared" si="22"/>
        <v>25.74504374288302</v>
      </c>
    </row>
    <row r="153" spans="1:43" x14ac:dyDescent="0.15">
      <c r="A153">
        <f t="shared" si="16"/>
        <v>12</v>
      </c>
      <c r="B153" s="2">
        <v>5</v>
      </c>
      <c r="D153" s="3">
        <f t="shared" si="21"/>
        <v>12.416666666666666</v>
      </c>
      <c r="F153">
        <f>IF(入力!$B$2="男",成長曲線_男!E151,成長曲線_女!E151)</f>
        <v>151.69999999999999</v>
      </c>
      <c r="G153">
        <f>IF(入力!$B$2="男",成長曲線_男!F151,成長曲線_女!F151)</f>
        <v>6</v>
      </c>
      <c r="H153">
        <f>IF(入力!$B$2="男",成長曲線_男!G151,成長曲線_女!G151)</f>
        <v>163.69999999999999</v>
      </c>
      <c r="I153">
        <f>IF(入力!$B$2="男",成長曲線_男!H151,成長曲線_女!H151)</f>
        <v>157.69999999999999</v>
      </c>
      <c r="J153">
        <f>IF(入力!$B$2="男",成長曲線_男!I151,成長曲線_女!I151)</f>
        <v>145.69999999999999</v>
      </c>
      <c r="K153">
        <f>IF(入力!$B$2="男",成長曲線_男!J151,成長曲線_女!J151)</f>
        <v>139.69999999999999</v>
      </c>
      <c r="L153">
        <f>IF(入力!$B$2="男",成長曲線_男!K151,成長曲線_女!K151)</f>
        <v>136.69999999999999</v>
      </c>
      <c r="M153">
        <f>IF(入力!$B$2="男",成長曲線_男!L151,成長曲線_女!L151)</f>
        <v>133.69999999999999</v>
      </c>
      <c r="O153">
        <f>IF(入力!$B$2="男",成長曲線_男!N151,成長曲線_女!N151)</f>
        <v>44.6</v>
      </c>
      <c r="P153">
        <f>IF(入力!$B$2="男",成長曲線_男!O151,成長曲線_女!O151)</f>
        <v>8.57</v>
      </c>
      <c r="Q153">
        <f>IF(入力!$B$2="男",成長曲線_男!P151,成長曲線_女!P151)</f>
        <v>61.74</v>
      </c>
      <c r="R153">
        <f>IF(入力!$B$2="男",成長曲線_男!Q151,成長曲線_女!Q151)</f>
        <v>53.17</v>
      </c>
      <c r="S153">
        <f>IF(入力!$B$2="男",成長曲線_男!R151,成長曲線_女!R151)</f>
        <v>36.03</v>
      </c>
      <c r="T153">
        <f>IF(入力!$B$2="男",成長曲線_男!S151,成長曲線_女!S151)</f>
        <v>27.46</v>
      </c>
      <c r="AE153">
        <f>IF($D153*12&lt;150,IF($D153*12&lt;IF(入力!$B$2="男",78,69),2,3),4)+IF(入力!$B$2="男",0,4)</f>
        <v>7</v>
      </c>
      <c r="AF153">
        <f t="shared" si="18"/>
        <v>-1.3525807113200026</v>
      </c>
      <c r="AG153">
        <f>IF($D153*12&lt;90,IF($D153*12&lt;26.75,IF($D153*12&lt;9.5,IF($D153*12&lt;2.5,2,3),4),5),6)+IF(入力!$B$2="男",0,6)+IF(AND(入力!$B$2&lt;&gt;"男",$D153*12&gt;=150),1,0)</f>
        <v>12</v>
      </c>
      <c r="AH153">
        <f t="shared" si="19"/>
        <v>18.719260536170005</v>
      </c>
      <c r="AI153">
        <f>IF(($D153*12)&lt;90,2,3)+IF(入力!$B$2="男",0,3)</f>
        <v>6</v>
      </c>
      <c r="AJ153">
        <f t="shared" si="20"/>
        <v>0.13875499486189991</v>
      </c>
      <c r="AK153">
        <f t="shared" si="17"/>
        <v>14.969966334550669</v>
      </c>
      <c r="AL153">
        <f t="shared" si="22"/>
        <v>15.961927264639099</v>
      </c>
      <c r="AM153">
        <f t="shared" si="22"/>
        <v>17.140274065151932</v>
      </c>
      <c r="AN153">
        <f t="shared" si="22"/>
        <v>18.719260536170005</v>
      </c>
      <c r="AO153">
        <f t="shared" si="22"/>
        <v>20.689328922053011</v>
      </c>
      <c r="AP153">
        <f t="shared" si="22"/>
        <v>22.941692887762528</v>
      </c>
      <c r="AQ153">
        <f t="shared" si="22"/>
        <v>25.827571065680171</v>
      </c>
    </row>
    <row r="154" spans="1:43" x14ac:dyDescent="0.15">
      <c r="A154">
        <f t="shared" si="16"/>
        <v>12</v>
      </c>
      <c r="B154" s="2">
        <v>6</v>
      </c>
      <c r="D154" s="3">
        <f t="shared" si="21"/>
        <v>12.5</v>
      </c>
      <c r="F154">
        <f>IF(入力!$B$2="男",成長曲線_男!E152,成長曲線_女!E152)</f>
        <v>152.1</v>
      </c>
      <c r="G154">
        <f>IF(入力!$B$2="男",成長曲線_男!F152,成長曲線_女!F152)</f>
        <v>5.9</v>
      </c>
      <c r="H154">
        <f>IF(入力!$B$2="男",成長曲線_男!G152,成長曲線_女!G152)</f>
        <v>163.9</v>
      </c>
      <c r="I154">
        <f>IF(入力!$B$2="男",成長曲線_男!H152,成長曲線_女!H152)</f>
        <v>158</v>
      </c>
      <c r="J154">
        <f>IF(入力!$B$2="男",成長曲線_男!I152,成長曲線_女!I152)</f>
        <v>146.19999999999999</v>
      </c>
      <c r="K154">
        <f>IF(入力!$B$2="男",成長曲線_男!J152,成長曲線_女!J152)</f>
        <v>140.29999999999998</v>
      </c>
      <c r="L154">
        <f>IF(入力!$B$2="男",成長曲線_男!K152,成長曲線_女!K152)</f>
        <v>137.35</v>
      </c>
      <c r="M154">
        <f>IF(入力!$B$2="男",成長曲線_男!L152,成長曲線_女!L152)</f>
        <v>134.39999999999998</v>
      </c>
      <c r="O154">
        <f>IF(入力!$B$2="男",成長曲線_男!N152,成長曲線_女!N152)</f>
        <v>45</v>
      </c>
      <c r="P154">
        <f>IF(入力!$B$2="男",成長曲線_男!O152,成長曲線_女!O152)</f>
        <v>8.59</v>
      </c>
      <c r="Q154">
        <f>IF(入力!$B$2="男",成長曲線_男!P152,成長曲線_女!P152)</f>
        <v>62.18</v>
      </c>
      <c r="R154">
        <f>IF(入力!$B$2="男",成長曲線_男!Q152,成長曲線_女!Q152)</f>
        <v>53.59</v>
      </c>
      <c r="S154">
        <f>IF(入力!$B$2="男",成長曲線_男!R152,成長曲線_女!R152)</f>
        <v>36.409999999999997</v>
      </c>
      <c r="T154">
        <f>IF(入力!$B$2="男",成長曲線_男!S152,成長曲線_女!S152)</f>
        <v>27.82</v>
      </c>
      <c r="AE154">
        <f>IF($D154*12&lt;150,IF($D154*12&lt;IF(入力!$B$2="男",78,69),2,3),4)+IF(入力!$B$2="男",0,4)</f>
        <v>8</v>
      </c>
      <c r="AF154">
        <f t="shared" si="18"/>
        <v>-1.3432206399999913</v>
      </c>
      <c r="AG154">
        <f>IF($D154*12&lt;90,IF($D154*12&lt;26.75,IF($D154*12&lt;9.5,IF($D154*12&lt;2.5,2,3),4),5),6)+IF(入力!$B$2="男",0,6)+IF(AND(入力!$B$2&lt;&gt;"男",$D154*12&gt;=150),1,0)</f>
        <v>13</v>
      </c>
      <c r="AH154">
        <f t="shared" si="19"/>
        <v>18.800257364000004</v>
      </c>
      <c r="AI154">
        <f>IF(($D154*12)&lt;90,2,3)+IF(入力!$B$2="男",0,3)</f>
        <v>6</v>
      </c>
      <c r="AJ154">
        <f t="shared" si="20"/>
        <v>0.13871722349999988</v>
      </c>
      <c r="AK154">
        <f t="shared" si="17"/>
        <v>15.032341340752918</v>
      </c>
      <c r="AL154">
        <f t="shared" si="22"/>
        <v>16.029842932664998</v>
      </c>
      <c r="AM154">
        <f t="shared" si="22"/>
        <v>17.214226528499236</v>
      </c>
      <c r="AN154">
        <f t="shared" si="22"/>
        <v>18.800257364000004</v>
      </c>
      <c r="AO154">
        <f t="shared" si="22"/>
        <v>20.777226168193152</v>
      </c>
      <c r="AP154">
        <f t="shared" si="22"/>
        <v>23.034602249372135</v>
      </c>
      <c r="AQ154">
        <f t="shared" si="22"/>
        <v>25.921908058895973</v>
      </c>
    </row>
    <row r="155" spans="1:43" x14ac:dyDescent="0.15">
      <c r="A155">
        <f t="shared" si="16"/>
        <v>12</v>
      </c>
      <c r="B155" s="2">
        <v>7</v>
      </c>
      <c r="D155" s="3">
        <f t="shared" si="21"/>
        <v>12.583333333333334</v>
      </c>
      <c r="F155">
        <f>IF(入力!$B$2="男",成長曲線_男!E153,成長曲線_女!E153)</f>
        <v>152.4</v>
      </c>
      <c r="G155">
        <f>IF(入力!$B$2="男",成長曲線_男!F153,成長曲線_女!F153)</f>
        <v>5.9</v>
      </c>
      <c r="H155">
        <f>IF(入力!$B$2="男",成長曲線_男!G153,成長曲線_女!G153)</f>
        <v>164.20000000000002</v>
      </c>
      <c r="I155">
        <f>IF(入力!$B$2="男",成長曲線_男!H153,成長曲線_女!H153)</f>
        <v>158.30000000000001</v>
      </c>
      <c r="J155">
        <f>IF(入力!$B$2="男",成長曲線_男!I153,成長曲線_女!I153)</f>
        <v>146.5</v>
      </c>
      <c r="K155">
        <f>IF(入力!$B$2="男",成長曲線_男!J153,成長曲線_女!J153)</f>
        <v>140.6</v>
      </c>
      <c r="L155">
        <f>IF(入力!$B$2="男",成長曲線_男!K153,成長曲線_女!K153)</f>
        <v>137.65</v>
      </c>
      <c r="M155">
        <f>IF(入力!$B$2="男",成長曲線_男!L153,成長曲線_女!L153)</f>
        <v>134.69999999999999</v>
      </c>
      <c r="O155">
        <f>IF(入力!$B$2="男",成長曲線_男!N153,成長曲線_女!N153)</f>
        <v>45.3</v>
      </c>
      <c r="P155">
        <f>IF(入力!$B$2="男",成長曲線_男!O153,成長曲線_女!O153)</f>
        <v>8.56</v>
      </c>
      <c r="Q155">
        <f>IF(入力!$B$2="男",成長曲線_男!P153,成長曲線_女!P153)</f>
        <v>62.42</v>
      </c>
      <c r="R155">
        <f>IF(入力!$B$2="男",成長曲線_男!Q153,成長曲線_女!Q153)</f>
        <v>53.86</v>
      </c>
      <c r="S155">
        <f>IF(入力!$B$2="男",成長曲線_男!R153,成長曲線_女!R153)</f>
        <v>36.739999999999995</v>
      </c>
      <c r="T155">
        <f>IF(入力!$B$2="男",成長曲線_男!S153,成長曲線_女!S153)</f>
        <v>28.179999999999996</v>
      </c>
      <c r="AE155">
        <f>IF($D155*12&lt;150,IF($D155*12&lt;IF(入力!$B$2="男",78,69),2,3),4)+IF(入力!$B$2="男",0,4)</f>
        <v>8</v>
      </c>
      <c r="AF155">
        <f t="shared" si="18"/>
        <v>-1.3348048766799891</v>
      </c>
      <c r="AG155">
        <f>IF($D155*12&lt;90,IF($D155*12&lt;26.75,IF($D155*12&lt;9.5,IF($D155*12&lt;2.5,2,3),4),5),6)+IF(入力!$B$2="男",0,6)+IF(AND(入力!$B$2&lt;&gt;"男",$D155*12&gt;=150),1,0)</f>
        <v>13</v>
      </c>
      <c r="AH155">
        <f t="shared" si="19"/>
        <v>18.873231629100005</v>
      </c>
      <c r="AI155">
        <f>IF(($D155*12)&lt;90,2,3)+IF(入力!$B$2="男",0,3)</f>
        <v>6</v>
      </c>
      <c r="AJ155">
        <f t="shared" si="20"/>
        <v>0.13866972752809992</v>
      </c>
      <c r="AK155">
        <f t="shared" si="17"/>
        <v>15.088805948145307</v>
      </c>
      <c r="AL155">
        <f t="shared" si="22"/>
        <v>16.091249699200045</v>
      </c>
      <c r="AM155">
        <f t="shared" si="22"/>
        <v>17.280993229163503</v>
      </c>
      <c r="AN155">
        <f t="shared" si="22"/>
        <v>18.873231629100005</v>
      </c>
      <c r="AO155">
        <f t="shared" si="22"/>
        <v>20.856193146294871</v>
      </c>
      <c r="AP155">
        <f t="shared" si="22"/>
        <v>23.117767261142085</v>
      </c>
      <c r="AQ155">
        <f t="shared" si="22"/>
        <v>26.005878029911699</v>
      </c>
    </row>
    <row r="156" spans="1:43" x14ac:dyDescent="0.15">
      <c r="A156">
        <f t="shared" si="16"/>
        <v>12</v>
      </c>
      <c r="B156" s="2">
        <v>8</v>
      </c>
      <c r="D156" s="3">
        <f t="shared" si="21"/>
        <v>12.666666666666666</v>
      </c>
      <c r="F156">
        <f>IF(入力!$B$2="男",成長曲線_男!E154,成長曲線_女!E154)</f>
        <v>152.6</v>
      </c>
      <c r="G156">
        <f>IF(入力!$B$2="男",成長曲線_男!F154,成長曲線_女!F154)</f>
        <v>5.8</v>
      </c>
      <c r="H156">
        <f>IF(入力!$B$2="男",成長曲線_男!G154,成長曲線_女!G154)</f>
        <v>164.2</v>
      </c>
      <c r="I156">
        <f>IF(入力!$B$2="男",成長曲線_男!H154,成長曲線_女!H154)</f>
        <v>158.4</v>
      </c>
      <c r="J156">
        <f>IF(入力!$B$2="男",成長曲線_男!I154,成長曲線_女!I154)</f>
        <v>146.79999999999998</v>
      </c>
      <c r="K156">
        <f>IF(入力!$B$2="男",成長曲線_男!J154,成長曲線_女!J154)</f>
        <v>141</v>
      </c>
      <c r="L156">
        <f>IF(入力!$B$2="男",成長曲線_男!K154,成長曲線_女!K154)</f>
        <v>138.1</v>
      </c>
      <c r="M156">
        <f>IF(入力!$B$2="男",成長曲線_男!L154,成長曲線_女!L154)</f>
        <v>135.19999999999999</v>
      </c>
      <c r="O156">
        <f>IF(入力!$B$2="男",成長曲線_男!N154,成長曲線_女!N154)</f>
        <v>45.6</v>
      </c>
      <c r="P156">
        <f>IF(入力!$B$2="男",成長曲線_男!O154,成長曲線_女!O154)</f>
        <v>8.5299999999999994</v>
      </c>
      <c r="Q156">
        <f>IF(入力!$B$2="男",成長曲線_男!P154,成長曲線_女!P154)</f>
        <v>62.66</v>
      </c>
      <c r="R156">
        <f>IF(入力!$B$2="男",成長曲線_男!Q154,成長曲線_女!Q154)</f>
        <v>54.13</v>
      </c>
      <c r="S156">
        <f>IF(入力!$B$2="男",成長曲線_男!R154,成長曲線_女!R154)</f>
        <v>37.07</v>
      </c>
      <c r="T156">
        <f>IF(入力!$B$2="男",成長曲線_男!S154,成長曲線_女!S154)</f>
        <v>28.540000000000003</v>
      </c>
      <c r="AE156">
        <f>IF($D156*12&lt;150,IF($D156*12&lt;IF(入力!$B$2="男",78,69),2,3),4)+IF(入力!$B$2="男",0,4)</f>
        <v>8</v>
      </c>
      <c r="AF156">
        <f t="shared" si="18"/>
        <v>-1.3274138214399969</v>
      </c>
      <c r="AG156">
        <f>IF($D156*12&lt;90,IF($D156*12&lt;26.75,IF($D156*12&lt;9.5,IF($D156*12&lt;2.5,2,3),4),5),6)+IF(入力!$B$2="男",0,6)+IF(AND(入力!$B$2&lt;&gt;"男",$D156*12&gt;=150),1,0)</f>
        <v>13</v>
      </c>
      <c r="AH156">
        <f t="shared" si="19"/>
        <v>18.945220302800003</v>
      </c>
      <c r="AI156">
        <f>IF(($D156*12)&lt;90,2,3)+IF(入力!$B$2="男",0,3)</f>
        <v>6</v>
      </c>
      <c r="AJ156">
        <f t="shared" si="20"/>
        <v>0.1386126334447999</v>
      </c>
      <c r="AK156">
        <f t="shared" si="17"/>
        <v>15.145021556385979</v>
      </c>
      <c r="AL156">
        <f t="shared" si="22"/>
        <v>16.152166504197787</v>
      </c>
      <c r="AM156">
        <f t="shared" si="22"/>
        <v>17.347023621545876</v>
      </c>
      <c r="AN156">
        <f t="shared" si="22"/>
        <v>18.945220302800003</v>
      </c>
      <c r="AO156">
        <f t="shared" si="22"/>
        <v>20.934017753379244</v>
      </c>
      <c r="AP156">
        <f t="shared" si="22"/>
        <v>23.199858763991188</v>
      </c>
      <c r="AQ156">
        <f t="shared" si="22"/>
        <v>26.089318571030418</v>
      </c>
    </row>
    <row r="157" spans="1:43" x14ac:dyDescent="0.15">
      <c r="A157">
        <f t="shared" si="16"/>
        <v>12</v>
      </c>
      <c r="B157" s="2">
        <v>9</v>
      </c>
      <c r="D157" s="3">
        <f t="shared" si="21"/>
        <v>12.75</v>
      </c>
      <c r="F157">
        <f>IF(入力!$B$2="男",成長曲線_男!E155,成長曲線_女!E155)</f>
        <v>152.9</v>
      </c>
      <c r="G157">
        <f>IF(入力!$B$2="男",成長曲線_男!F155,成長曲線_女!F155)</f>
        <v>5.8</v>
      </c>
      <c r="H157">
        <f>IF(入力!$B$2="男",成長曲線_男!G155,成長曲線_女!G155)</f>
        <v>164.5</v>
      </c>
      <c r="I157">
        <f>IF(入力!$B$2="男",成長曲線_男!H155,成長曲線_女!H155)</f>
        <v>158.70000000000002</v>
      </c>
      <c r="J157">
        <f>IF(入力!$B$2="男",成長曲線_男!I155,成長曲線_女!I155)</f>
        <v>147.1</v>
      </c>
      <c r="K157">
        <f>IF(入力!$B$2="男",成長曲線_男!J155,成長曲線_女!J155)</f>
        <v>141.30000000000001</v>
      </c>
      <c r="L157">
        <f>IF(入力!$B$2="男",成長曲線_男!K155,成長曲線_女!K155)</f>
        <v>138.4</v>
      </c>
      <c r="M157">
        <f>IF(入力!$B$2="男",成長曲線_男!L155,成長曲線_女!L155)</f>
        <v>135.5</v>
      </c>
      <c r="O157">
        <f>IF(入力!$B$2="男",成長曲線_男!N155,成長曲線_女!N155)</f>
        <v>45.8</v>
      </c>
      <c r="P157">
        <f>IF(入力!$B$2="男",成長曲線_男!O155,成長曲線_女!O155)</f>
        <v>8.5</v>
      </c>
      <c r="Q157">
        <f>IF(入力!$B$2="男",成長曲線_男!P155,成長曲線_女!P155)</f>
        <v>62.8</v>
      </c>
      <c r="R157">
        <f>IF(入力!$B$2="男",成長曲線_男!Q155,成長曲線_女!Q155)</f>
        <v>54.3</v>
      </c>
      <c r="S157">
        <f>IF(入力!$B$2="男",成長曲線_男!R155,成長曲線_女!R155)</f>
        <v>37.299999999999997</v>
      </c>
      <c r="T157">
        <f>IF(入力!$B$2="男",成長曲線_男!S155,成長曲線_女!S155)</f>
        <v>28.799999999999997</v>
      </c>
      <c r="AE157">
        <f>IF($D157*12&lt;150,IF($D157*12&lt;IF(入力!$B$2="男",78,69),2,3),4)+IF(入力!$B$2="男",0,4)</f>
        <v>8</v>
      </c>
      <c r="AF157">
        <f t="shared" si="18"/>
        <v>-1.3210149883599982</v>
      </c>
      <c r="AG157">
        <f>IF($D157*12&lt;90,IF($D157*12&lt;26.75,IF($D157*12&lt;9.5,IF($D157*12&lt;2.5,2,3),4),5),6)+IF(入力!$B$2="男",0,6)+IF(AND(入力!$B$2&lt;&gt;"男",$D157*12&gt;=150),1,0)</f>
        <v>13</v>
      </c>
      <c r="AH157">
        <f t="shared" si="19"/>
        <v>19.016208343700001</v>
      </c>
      <c r="AI157">
        <f>IF(($D157*12)&lt;90,2,3)+IF(入力!$B$2="男",0,3)</f>
        <v>6</v>
      </c>
      <c r="AJ157">
        <f t="shared" si="20"/>
        <v>0.13854606774869987</v>
      </c>
      <c r="AK157">
        <f t="shared" si="17"/>
        <v>15.200970868824019</v>
      </c>
      <c r="AL157">
        <f t="shared" si="22"/>
        <v>16.212577229162562</v>
      </c>
      <c r="AM157">
        <f t="shared" si="22"/>
        <v>17.412302593093134</v>
      </c>
      <c r="AN157">
        <f t="shared" si="22"/>
        <v>19.016208343700001</v>
      </c>
      <c r="AO157">
        <f t="shared" si="22"/>
        <v>21.010681421649934</v>
      </c>
      <c r="AP157">
        <f t="shared" si="22"/>
        <v>23.280845980438361</v>
      </c>
      <c r="AQ157">
        <f t="shared" si="22"/>
        <v>26.17216283136797</v>
      </c>
    </row>
    <row r="158" spans="1:43" x14ac:dyDescent="0.15">
      <c r="A158">
        <f t="shared" si="16"/>
        <v>12</v>
      </c>
      <c r="B158" s="2">
        <v>10</v>
      </c>
      <c r="D158" s="3">
        <f t="shared" si="21"/>
        <v>12.833333333333334</v>
      </c>
      <c r="F158">
        <f>IF(入力!$B$2="男",成長曲線_男!E156,成長曲線_女!E156)</f>
        <v>153.1</v>
      </c>
      <c r="G158">
        <f>IF(入力!$B$2="男",成長曲線_男!F156,成長曲線_女!F156)</f>
        <v>5.8</v>
      </c>
      <c r="H158">
        <f>IF(入力!$B$2="男",成長曲線_男!G156,成長曲線_女!G156)</f>
        <v>164.7</v>
      </c>
      <c r="I158">
        <f>IF(入力!$B$2="男",成長曲線_男!H156,成長曲線_女!H156)</f>
        <v>158.9</v>
      </c>
      <c r="J158">
        <f>IF(入力!$B$2="男",成長曲線_男!I156,成長曲線_女!I156)</f>
        <v>147.29999999999998</v>
      </c>
      <c r="K158">
        <f>IF(入力!$B$2="男",成長曲線_男!J156,成長曲線_女!J156)</f>
        <v>141.5</v>
      </c>
      <c r="L158">
        <f>IF(入力!$B$2="男",成長曲線_男!K156,成長曲線_女!K156)</f>
        <v>138.6</v>
      </c>
      <c r="M158">
        <f>IF(入力!$B$2="男",成長曲線_男!L156,成長曲線_女!L156)</f>
        <v>135.69999999999999</v>
      </c>
      <c r="O158">
        <f>IF(入力!$B$2="男",成長曲線_男!N156,成長曲線_女!N156)</f>
        <v>46.1</v>
      </c>
      <c r="P158">
        <f>IF(入力!$B$2="男",成長曲線_男!O156,成長曲線_女!O156)</f>
        <v>8.4700000000000006</v>
      </c>
      <c r="Q158">
        <f>IF(入力!$B$2="男",成長曲線_男!P156,成長曲線_女!P156)</f>
        <v>63.040000000000006</v>
      </c>
      <c r="R158">
        <f>IF(入力!$B$2="男",成長曲線_男!Q156,成長曲線_女!Q156)</f>
        <v>54.57</v>
      </c>
      <c r="S158">
        <f>IF(入力!$B$2="男",成長曲線_男!R156,成長曲線_女!R156)</f>
        <v>37.630000000000003</v>
      </c>
      <c r="T158">
        <f>IF(入力!$B$2="男",成長曲線_男!S156,成長曲線_女!S156)</f>
        <v>29.16</v>
      </c>
      <c r="AE158">
        <f>IF($D158*12&lt;150,IF($D158*12&lt;IF(入力!$B$2="男",78,69),2,3),4)+IF(入力!$B$2="男",0,4)</f>
        <v>8</v>
      </c>
      <c r="AF158">
        <f t="shared" si="18"/>
        <v>-1.3155758915200053</v>
      </c>
      <c r="AG158">
        <f>IF($D158*12&lt;90,IF($D158*12&lt;26.75,IF($D158*12&lt;9.5,IF($D158*12&lt;2.5,2,3),4),5),6)+IF(入力!$B$2="男",0,6)+IF(AND(入力!$B$2&lt;&gt;"男",$D158*12&gt;=150),1,0)</f>
        <v>13</v>
      </c>
      <c r="AH158">
        <f t="shared" si="19"/>
        <v>19.086180710400001</v>
      </c>
      <c r="AI158">
        <f>IF(($D158*12)&lt;90,2,3)+IF(入力!$B$2="男",0,3)</f>
        <v>6</v>
      </c>
      <c r="AJ158">
        <f t="shared" si="20"/>
        <v>0.13847015693839992</v>
      </c>
      <c r="AK158">
        <f t="shared" si="17"/>
        <v>15.256635754323906</v>
      </c>
      <c r="AL158">
        <f t="shared" si="22"/>
        <v>16.272465293836404</v>
      </c>
      <c r="AM158">
        <f t="shared" si="22"/>
        <v>17.476814863503826</v>
      </c>
      <c r="AN158">
        <f t="shared" si="22"/>
        <v>19.086180710400001</v>
      </c>
      <c r="AO158">
        <f t="shared" si="22"/>
        <v>21.086165551738841</v>
      </c>
      <c r="AP158">
        <f t="shared" si="22"/>
        <v>23.360698080295052</v>
      </c>
      <c r="AQ158">
        <f t="shared" si="22"/>
        <v>26.25434489182523</v>
      </c>
    </row>
    <row r="159" spans="1:43" x14ac:dyDescent="0.15">
      <c r="A159">
        <f t="shared" si="16"/>
        <v>12</v>
      </c>
      <c r="B159" s="2">
        <v>11</v>
      </c>
      <c r="D159" s="3">
        <f t="shared" si="21"/>
        <v>12.916666666666666</v>
      </c>
      <c r="F159">
        <f>IF(入力!$B$2="男",成長曲線_男!E157,成長曲線_女!E157)</f>
        <v>153.4</v>
      </c>
      <c r="G159">
        <f>IF(入力!$B$2="男",成長曲線_男!F157,成長曲線_女!F157)</f>
        <v>5.7</v>
      </c>
      <c r="H159">
        <f>IF(入力!$B$2="男",成長曲線_男!G157,成長曲線_女!G157)</f>
        <v>164.8</v>
      </c>
      <c r="I159">
        <f>IF(入力!$B$2="男",成長曲線_男!H157,成長曲線_女!H157)</f>
        <v>159.1</v>
      </c>
      <c r="J159">
        <f>IF(入力!$B$2="男",成長曲線_男!I157,成長曲線_女!I157)</f>
        <v>147.70000000000002</v>
      </c>
      <c r="K159">
        <f>IF(入力!$B$2="男",成長曲線_男!J157,成長曲線_女!J157)</f>
        <v>142</v>
      </c>
      <c r="L159">
        <f>IF(入力!$B$2="男",成長曲線_男!K157,成長曲線_女!K157)</f>
        <v>139.15</v>
      </c>
      <c r="M159">
        <f>IF(入力!$B$2="男",成長曲線_男!L157,成長曲線_女!L157)</f>
        <v>136.30000000000001</v>
      </c>
      <c r="O159">
        <f>IF(入力!$B$2="男",成長曲線_男!N157,成長曲線_女!N157)</f>
        <v>46.4</v>
      </c>
      <c r="P159">
        <f>IF(入力!$B$2="男",成長曲線_男!O157,成長曲線_女!O157)</f>
        <v>8.44</v>
      </c>
      <c r="Q159">
        <f>IF(入力!$B$2="男",成長曲線_男!P157,成長曲線_女!P157)</f>
        <v>63.28</v>
      </c>
      <c r="R159">
        <f>IF(入力!$B$2="男",成長曲線_男!Q157,成長曲線_女!Q157)</f>
        <v>54.839999999999996</v>
      </c>
      <c r="S159">
        <f>IF(入力!$B$2="男",成長曲線_男!R157,成長曲線_女!R157)</f>
        <v>37.96</v>
      </c>
      <c r="T159">
        <f>IF(入力!$B$2="男",成長曲線_男!S157,成長曲線_女!S157)</f>
        <v>29.52</v>
      </c>
      <c r="AE159">
        <f>IF($D159*12&lt;150,IF($D159*12&lt;IF(入力!$B$2="男",78,69),2,3),4)+IF(入力!$B$2="男",0,4)</f>
        <v>8</v>
      </c>
      <c r="AF159">
        <f t="shared" si="18"/>
        <v>-1.311064045000002</v>
      </c>
      <c r="AG159">
        <f>IF($D159*12&lt;90,IF($D159*12&lt;26.75,IF($D159*12&lt;9.5,IF($D159*12&lt;2.5,2,3),4),5),6)+IF(入力!$B$2="男",0,6)+IF(AND(入力!$B$2&lt;&gt;"男",$D159*12&gt;=150),1,0)</f>
        <v>13</v>
      </c>
      <c r="AH159">
        <f t="shared" si="19"/>
        <v>19.155122361500002</v>
      </c>
      <c r="AI159">
        <f>IF(($D159*12)&lt;90,2,3)+IF(入力!$B$2="男",0,3)</f>
        <v>6</v>
      </c>
      <c r="AJ159">
        <f t="shared" si="20"/>
        <v>0.13838502751249993</v>
      </c>
      <c r="AK159">
        <f t="shared" si="17"/>
        <v>15.311997277707047</v>
      </c>
      <c r="AL159">
        <f t="shared" si="22"/>
        <v>16.331813671966259</v>
      </c>
      <c r="AM159">
        <f t="shared" si="22"/>
        <v>17.540544989425555</v>
      </c>
      <c r="AN159">
        <f t="shared" si="22"/>
        <v>19.155122361500002</v>
      </c>
      <c r="AO159">
        <f t="shared" si="22"/>
        <v>21.160451515910768</v>
      </c>
      <c r="AP159">
        <f t="shared" si="22"/>
        <v>23.43938417218904</v>
      </c>
      <c r="AQ159">
        <f t="shared" si="22"/>
        <v>26.335799616059507</v>
      </c>
    </row>
    <row r="160" spans="1:43" x14ac:dyDescent="0.15">
      <c r="A160">
        <f t="shared" si="16"/>
        <v>13</v>
      </c>
      <c r="B160" s="2">
        <v>0</v>
      </c>
      <c r="D160" s="3">
        <f t="shared" si="21"/>
        <v>13</v>
      </c>
      <c r="F160">
        <f>IF(入力!$B$2="男",成長曲線_男!E158,成長曲線_女!E158)</f>
        <v>153.6</v>
      </c>
      <c r="G160">
        <f>IF(入力!$B$2="男",成長曲線_男!F158,成長曲線_女!F158)</f>
        <v>5.7</v>
      </c>
      <c r="H160">
        <f>IF(入力!$B$2="男",成長曲線_男!G158,成長曲線_女!G158)</f>
        <v>165</v>
      </c>
      <c r="I160">
        <f>IF(入力!$B$2="男",成長曲線_男!H158,成長曲線_女!H158)</f>
        <v>159.29999999999998</v>
      </c>
      <c r="J160">
        <f>IF(入力!$B$2="男",成長曲線_男!I158,成長曲線_女!I158)</f>
        <v>147.9</v>
      </c>
      <c r="K160">
        <f>IF(入力!$B$2="男",成長曲線_男!J158,成長曲線_女!J158)</f>
        <v>142.19999999999999</v>
      </c>
      <c r="L160">
        <f>IF(入力!$B$2="男",成長曲線_男!K158,成長曲線_女!K158)</f>
        <v>139.35</v>
      </c>
      <c r="M160">
        <f>IF(入力!$B$2="男",成長曲線_男!L158,成長曲線_女!L158)</f>
        <v>136.5</v>
      </c>
      <c r="O160">
        <f>IF(入力!$B$2="男",成長曲線_男!N158,成長曲線_女!N158)</f>
        <v>46.7</v>
      </c>
      <c r="P160">
        <f>IF(入力!$B$2="男",成長曲線_男!O158,成長曲線_女!O158)</f>
        <v>8.42</v>
      </c>
      <c r="Q160">
        <f>IF(入力!$B$2="男",成長曲線_男!P158,成長曲線_女!P158)</f>
        <v>63.540000000000006</v>
      </c>
      <c r="R160">
        <f>IF(入力!$B$2="男",成長曲線_男!Q158,成長曲線_女!Q158)</f>
        <v>55.120000000000005</v>
      </c>
      <c r="S160">
        <f>IF(入力!$B$2="男",成長曲線_男!R158,成長曲線_女!R158)</f>
        <v>38.28</v>
      </c>
      <c r="T160">
        <f>IF(入力!$B$2="男",成長曲線_男!S158,成長曲線_女!S158)</f>
        <v>29.860000000000003</v>
      </c>
      <c r="AE160">
        <f>IF($D160*12&lt;150,IF($D160*12&lt;IF(入力!$B$2="男",78,69),2,3),4)+IF(入力!$B$2="男",0,4)</f>
        <v>8</v>
      </c>
      <c r="AF160">
        <f t="shared" si="18"/>
        <v>-1.3074469628800003</v>
      </c>
      <c r="AG160">
        <f>IF($D160*12&lt;90,IF($D160*12&lt;26.75,IF($D160*12&lt;9.5,IF($D160*12&lt;2.5,2,3),4),5),6)+IF(入力!$B$2="男",0,6)+IF(AND(入力!$B$2&lt;&gt;"男",$D160*12&gt;=150),1,0)</f>
        <v>13</v>
      </c>
      <c r="AH160">
        <f t="shared" si="19"/>
        <v>19.223018255600003</v>
      </c>
      <c r="AI160">
        <f>IF(($D160*12)&lt;90,2,3)+IF(入力!$B$2="男",0,3)</f>
        <v>6</v>
      </c>
      <c r="AJ160">
        <f t="shared" si="20"/>
        <v>0.13829080596959992</v>
      </c>
      <c r="AK160">
        <f t="shared" si="17"/>
        <v>15.367035731760158</v>
      </c>
      <c r="AL160">
        <f t="shared" si="22"/>
        <v>16.390604907764036</v>
      </c>
      <c r="AM160">
        <f t="shared" si="22"/>
        <v>17.603477369329728</v>
      </c>
      <c r="AN160">
        <f t="shared" si="22"/>
        <v>19.223018255600003</v>
      </c>
      <c r="AO160">
        <f t="shared" si="22"/>
        <v>21.23352066136934</v>
      </c>
      <c r="AP160">
        <f t="shared" si="22"/>
        <v>23.516873296478526</v>
      </c>
      <c r="AQ160">
        <f t="shared" si="22"/>
        <v>26.416462514856615</v>
      </c>
    </row>
    <row r="161" spans="1:43" x14ac:dyDescent="0.15">
      <c r="A161">
        <f t="shared" si="16"/>
        <v>13</v>
      </c>
      <c r="B161" s="2">
        <v>1</v>
      </c>
      <c r="D161" s="3">
        <f t="shared" si="21"/>
        <v>13.083333333333334</v>
      </c>
      <c r="F161">
        <f>IF(入力!$B$2="男",成長曲線_男!E159,成長曲線_女!E159)</f>
        <v>153.9</v>
      </c>
      <c r="G161">
        <f>IF(入力!$B$2="男",成長曲線_男!F159,成長曲線_女!F159)</f>
        <v>5.6</v>
      </c>
      <c r="H161">
        <f>IF(入力!$B$2="男",成長曲線_男!G159,成長曲線_女!G159)</f>
        <v>165.1</v>
      </c>
      <c r="I161">
        <f>IF(入力!$B$2="男",成長曲線_男!H159,成長曲線_女!H159)</f>
        <v>159.5</v>
      </c>
      <c r="J161">
        <f>IF(入力!$B$2="男",成長曲線_男!I159,成長曲線_女!I159)</f>
        <v>148.30000000000001</v>
      </c>
      <c r="K161">
        <f>IF(入力!$B$2="男",成長曲線_男!J159,成長曲線_女!J159)</f>
        <v>142.70000000000002</v>
      </c>
      <c r="L161">
        <f>IF(入力!$B$2="男",成長曲線_男!K159,成長曲線_女!K159)</f>
        <v>139.9</v>
      </c>
      <c r="M161">
        <f>IF(入力!$B$2="男",成長曲線_男!L159,成長曲線_女!L159)</f>
        <v>137.10000000000002</v>
      </c>
      <c r="O161">
        <f>IF(入力!$B$2="男",成長曲線_男!N159,成長曲線_女!N159)</f>
        <v>46.9</v>
      </c>
      <c r="P161">
        <f>IF(入力!$B$2="男",成長曲線_男!O159,成長曲線_女!O159)</f>
        <v>8.39</v>
      </c>
      <c r="Q161">
        <f>IF(入力!$B$2="男",成長曲線_男!P159,成長曲線_女!P159)</f>
        <v>63.68</v>
      </c>
      <c r="R161">
        <f>IF(入力!$B$2="男",成長曲線_男!Q159,成長曲線_女!Q159)</f>
        <v>55.29</v>
      </c>
      <c r="S161">
        <f>IF(入力!$B$2="男",成長曲線_男!R159,成長曲線_女!R159)</f>
        <v>38.51</v>
      </c>
      <c r="T161">
        <f>IF(入力!$B$2="男",成長曲線_男!S159,成長曲線_女!S159)</f>
        <v>30.119999999999997</v>
      </c>
      <c r="AE161">
        <f>IF($D161*12&lt;150,IF($D161*12&lt;IF(入力!$B$2="男",78,69),2,3),4)+IF(入力!$B$2="男",0,4)</f>
        <v>8</v>
      </c>
      <c r="AF161">
        <f t="shared" si="18"/>
        <v>-1.3046921592400125</v>
      </c>
      <c r="AG161">
        <f>IF($D161*12&lt;90,IF($D161*12&lt;26.75,IF($D161*12&lt;9.5,IF($D161*12&lt;2.5,2,3),4),5),6)+IF(入力!$B$2="男",0,6)+IF(AND(入力!$B$2&lt;&gt;"男",$D161*12&gt;=150),1,0)</f>
        <v>13</v>
      </c>
      <c r="AH161">
        <f t="shared" si="19"/>
        <v>19.289853351300003</v>
      </c>
      <c r="AI161">
        <f>IF(($D161*12)&lt;90,2,3)+IF(入力!$B$2="男",0,3)</f>
        <v>6</v>
      </c>
      <c r="AJ161">
        <f t="shared" si="20"/>
        <v>0.13818761880829994</v>
      </c>
      <c r="AK161">
        <f t="shared" si="17"/>
        <v>15.421730670588373</v>
      </c>
      <c r="AL161">
        <f t="shared" si="22"/>
        <v>16.448821132963921</v>
      </c>
      <c r="AM161">
        <f t="shared" si="22"/>
        <v>17.665596248542556</v>
      </c>
      <c r="AN161">
        <f t="shared" si="22"/>
        <v>19.289853351300003</v>
      </c>
      <c r="AO161">
        <f t="shared" si="22"/>
        <v>21.305354313667284</v>
      </c>
      <c r="AP161">
        <f t="shared" si="22"/>
        <v>23.593134419543102</v>
      </c>
      <c r="AQ161">
        <f t="shared" si="22"/>
        <v>26.49626962283358</v>
      </c>
    </row>
    <row r="162" spans="1:43" x14ac:dyDescent="0.15">
      <c r="A162">
        <f t="shared" si="16"/>
        <v>13</v>
      </c>
      <c r="B162" s="2">
        <v>2</v>
      </c>
      <c r="D162" s="3">
        <f t="shared" si="21"/>
        <v>13.166666666666666</v>
      </c>
      <c r="F162">
        <f>IF(入力!$B$2="男",成長曲線_男!E160,成長曲線_女!E160)</f>
        <v>154.1</v>
      </c>
      <c r="G162">
        <f>IF(入力!$B$2="男",成長曲線_男!F160,成長曲線_女!F160)</f>
        <v>5.6</v>
      </c>
      <c r="H162">
        <f>IF(入力!$B$2="男",成長曲線_男!G160,成長曲線_女!G160)</f>
        <v>165.29999999999998</v>
      </c>
      <c r="I162">
        <f>IF(入力!$B$2="男",成長曲線_男!H160,成長曲線_女!H160)</f>
        <v>159.69999999999999</v>
      </c>
      <c r="J162">
        <f>IF(入力!$B$2="男",成長曲線_男!I160,成長曲線_女!I160)</f>
        <v>148.5</v>
      </c>
      <c r="K162">
        <f>IF(入力!$B$2="男",成長曲線_男!J160,成長曲線_女!J160)</f>
        <v>142.9</v>
      </c>
      <c r="L162">
        <f>IF(入力!$B$2="男",成長曲線_男!K160,成長曲線_女!K160)</f>
        <v>140.1</v>
      </c>
      <c r="M162">
        <f>IF(入力!$B$2="男",成長曲線_男!L160,成長曲線_女!L160)</f>
        <v>137.30000000000001</v>
      </c>
      <c r="O162">
        <f>IF(入力!$B$2="男",成長曲線_男!N160,成長曲線_女!N160)</f>
        <v>47.2</v>
      </c>
      <c r="P162">
        <f>IF(入力!$B$2="男",成長曲線_男!O160,成長曲線_女!O160)</f>
        <v>8.36</v>
      </c>
      <c r="Q162">
        <f>IF(入力!$B$2="男",成長曲線_男!P160,成長曲線_女!P160)</f>
        <v>63.92</v>
      </c>
      <c r="R162">
        <f>IF(入力!$B$2="男",成長曲線_男!Q160,成長曲線_女!Q160)</f>
        <v>55.56</v>
      </c>
      <c r="S162">
        <f>IF(入力!$B$2="男",成長曲線_男!R160,成長曲線_女!R160)</f>
        <v>38.840000000000003</v>
      </c>
      <c r="T162">
        <f>IF(入力!$B$2="男",成長曲線_男!S160,成長曲線_女!S160)</f>
        <v>30.480000000000004</v>
      </c>
      <c r="AE162">
        <f>IF($D162*12&lt;150,IF($D162*12&lt;IF(入力!$B$2="男",78,69),2,3),4)+IF(入力!$B$2="男",0,4)</f>
        <v>8</v>
      </c>
      <c r="AF162">
        <f t="shared" si="18"/>
        <v>-1.302767148160008</v>
      </c>
      <c r="AG162">
        <f>IF($D162*12&lt;90,IF($D162*12&lt;26.75,IF($D162*12&lt;9.5,IF($D162*12&lt;2.5,2,3),4),5),6)+IF(入力!$B$2="男",0,6)+IF(AND(入力!$B$2&lt;&gt;"男",$D162*12&gt;=150),1,0)</f>
        <v>13</v>
      </c>
      <c r="AH162">
        <f t="shared" si="19"/>
        <v>19.355612607200001</v>
      </c>
      <c r="AI162">
        <f>IF(($D162*12)&lt;90,2,3)+IF(入力!$B$2="男",0,3)</f>
        <v>6</v>
      </c>
      <c r="AJ162">
        <f t="shared" si="20"/>
        <v>0.13807559252719992</v>
      </c>
      <c r="AK162">
        <f t="shared" si="17"/>
        <v>15.47606094409279</v>
      </c>
      <c r="AL162">
        <f t="shared" si="22"/>
        <v>16.506444084382768</v>
      </c>
      <c r="AM162">
        <f t="shared" si="22"/>
        <v>17.726885724411432</v>
      </c>
      <c r="AN162">
        <f t="shared" si="22"/>
        <v>19.355612607200001</v>
      </c>
      <c r="AO162">
        <f t="shared" si="22"/>
        <v>21.375933780223988</v>
      </c>
      <c r="AP162">
        <f t="shared" si="22"/>
        <v>23.66813642944371</v>
      </c>
      <c r="AQ162">
        <f t="shared" si="22"/>
        <v>26.575157386563049</v>
      </c>
    </row>
    <row r="163" spans="1:43" x14ac:dyDescent="0.15">
      <c r="A163">
        <f t="shared" si="16"/>
        <v>13</v>
      </c>
      <c r="B163" s="2">
        <v>3</v>
      </c>
      <c r="D163" s="3">
        <f t="shared" si="21"/>
        <v>13.25</v>
      </c>
      <c r="F163">
        <f>IF(入力!$B$2="男",成長曲線_男!E161,成長曲線_女!E161)</f>
        <v>154.4</v>
      </c>
      <c r="G163">
        <f>IF(入力!$B$2="男",成長曲線_男!F161,成長曲線_女!F161)</f>
        <v>5.5</v>
      </c>
      <c r="H163">
        <f>IF(入力!$B$2="男",成長曲線_男!G161,成長曲線_女!G161)</f>
        <v>165.4</v>
      </c>
      <c r="I163">
        <f>IF(入力!$B$2="男",成長曲線_男!H161,成長曲線_女!H161)</f>
        <v>159.9</v>
      </c>
      <c r="J163">
        <f>IF(入力!$B$2="男",成長曲線_男!I161,成長曲線_女!I161)</f>
        <v>148.9</v>
      </c>
      <c r="K163">
        <f>IF(入力!$B$2="男",成長曲線_男!J161,成長曲線_女!J161)</f>
        <v>143.4</v>
      </c>
      <c r="L163">
        <f>IF(入力!$B$2="男",成長曲線_男!K161,成長曲線_女!K161)</f>
        <v>140.65</v>
      </c>
      <c r="M163">
        <f>IF(入力!$B$2="男",成長曲線_男!L161,成長曲線_女!L161)</f>
        <v>137.9</v>
      </c>
      <c r="O163">
        <f>IF(入力!$B$2="男",成長曲線_男!N161,成長曲線_女!N161)</f>
        <v>47.5</v>
      </c>
      <c r="P163">
        <f>IF(入力!$B$2="男",成長曲線_男!O161,成長曲線_女!O161)</f>
        <v>8.33</v>
      </c>
      <c r="Q163">
        <f>IF(入力!$B$2="男",成長曲線_男!P161,成長曲線_女!P161)</f>
        <v>64.16</v>
      </c>
      <c r="R163">
        <f>IF(入力!$B$2="男",成長曲線_男!Q161,成長曲線_女!Q161)</f>
        <v>55.83</v>
      </c>
      <c r="S163">
        <f>IF(入力!$B$2="男",成長曲線_男!R161,成長曲線_女!R161)</f>
        <v>39.17</v>
      </c>
      <c r="T163">
        <f>IF(入力!$B$2="男",成長曲線_男!S161,成長曲線_女!S161)</f>
        <v>30.84</v>
      </c>
      <c r="AE163">
        <f>IF($D163*12&lt;150,IF($D163*12&lt;IF(入力!$B$2="男",78,69),2,3),4)+IF(入力!$B$2="男",0,4)</f>
        <v>8</v>
      </c>
      <c r="AF163">
        <f t="shared" si="18"/>
        <v>-1.3016394437199992</v>
      </c>
      <c r="AG163">
        <f>IF($D163*12&lt;90,IF($D163*12&lt;26.75,IF($D163*12&lt;9.5,IF($D163*12&lt;2.5,2,3),4),5),6)+IF(入力!$B$2="男",0,6)+IF(AND(入力!$B$2&lt;&gt;"男",$D163*12&gt;=150),1,0)</f>
        <v>13</v>
      </c>
      <c r="AH163">
        <f t="shared" si="19"/>
        <v>19.4202809819</v>
      </c>
      <c r="AI163">
        <f>IF(($D163*12)&lt;90,2,3)+IF(入力!$B$2="男",0,3)</f>
        <v>6</v>
      </c>
      <c r="AJ163">
        <f t="shared" si="20"/>
        <v>0.1379548536248999</v>
      </c>
      <c r="AK163">
        <f t="shared" si="17"/>
        <v>15.530004733355803</v>
      </c>
      <c r="AL163">
        <f t="shared" si="22"/>
        <v>16.563455121890939</v>
      </c>
      <c r="AM163">
        <f t="shared" si="22"/>
        <v>17.787329751586181</v>
      </c>
      <c r="AN163">
        <f t="shared" si="22"/>
        <v>19.4202809819</v>
      </c>
      <c r="AO163">
        <f t="shared" si="22"/>
        <v>21.445240353952762</v>
      </c>
      <c r="AP163">
        <f t="shared" si="22"/>
        <v>23.741848132948277</v>
      </c>
      <c r="AQ163">
        <f t="shared" si="22"/>
        <v>26.653062563351735</v>
      </c>
    </row>
    <row r="164" spans="1:43" x14ac:dyDescent="0.15">
      <c r="A164">
        <f t="shared" si="16"/>
        <v>13</v>
      </c>
      <c r="B164" s="2">
        <v>4</v>
      </c>
      <c r="D164" s="3">
        <f t="shared" si="21"/>
        <v>13.333333333333334</v>
      </c>
      <c r="F164">
        <f>IF(入力!$B$2="男",成長曲線_男!E162,成長曲線_女!E162)</f>
        <v>154.6</v>
      </c>
      <c r="G164">
        <f>IF(入力!$B$2="男",成長曲線_男!F162,成長曲線_女!F162)</f>
        <v>5.5</v>
      </c>
      <c r="H164">
        <f>IF(入力!$B$2="男",成長曲線_男!G162,成長曲線_女!G162)</f>
        <v>165.6</v>
      </c>
      <c r="I164">
        <f>IF(入力!$B$2="男",成長曲線_男!H162,成長曲線_女!H162)</f>
        <v>160.1</v>
      </c>
      <c r="J164">
        <f>IF(入力!$B$2="男",成長曲線_男!I162,成長曲線_女!I162)</f>
        <v>149.1</v>
      </c>
      <c r="K164">
        <f>IF(入力!$B$2="男",成長曲線_男!J162,成長曲線_女!J162)</f>
        <v>143.6</v>
      </c>
      <c r="L164">
        <f>IF(入力!$B$2="男",成長曲線_男!K162,成長曲線_女!K162)</f>
        <v>140.85</v>
      </c>
      <c r="M164">
        <f>IF(入力!$B$2="男",成長曲線_男!L162,成長曲線_女!L162)</f>
        <v>138.1</v>
      </c>
      <c r="O164">
        <f>IF(入力!$B$2="男",成長曲線_男!N162,成長曲線_女!N162)</f>
        <v>47.8</v>
      </c>
      <c r="P164">
        <f>IF(入力!$B$2="男",成長曲線_男!O162,成長曲線_女!O162)</f>
        <v>8.3000000000000007</v>
      </c>
      <c r="Q164">
        <f>IF(入力!$B$2="男",成長曲線_男!P162,成長曲線_女!P162)</f>
        <v>64.400000000000006</v>
      </c>
      <c r="R164">
        <f>IF(入力!$B$2="男",成長曲線_男!Q162,成長曲線_女!Q162)</f>
        <v>56.099999999999994</v>
      </c>
      <c r="S164">
        <f>IF(入力!$B$2="男",成長曲線_男!R162,成長曲線_女!R162)</f>
        <v>39.5</v>
      </c>
      <c r="T164">
        <f>IF(入力!$B$2="男",成長曲線_男!S162,成長曲線_女!S162)</f>
        <v>31.199999999999996</v>
      </c>
      <c r="AE164">
        <f>IF($D164*12&lt;150,IF($D164*12&lt;IF(入力!$B$2="男",78,69),2,3),4)+IF(入力!$B$2="男",0,4)</f>
        <v>8</v>
      </c>
      <c r="AF164">
        <f t="shared" si="18"/>
        <v>-1.301276559999998</v>
      </c>
      <c r="AG164">
        <f>IF($D164*12&lt;90,IF($D164*12&lt;26.75,IF($D164*12&lt;9.5,IF($D164*12&lt;2.5,2,3),4),5),6)+IF(入力!$B$2="男",0,6)+IF(AND(入力!$B$2&lt;&gt;"男",$D164*12&gt;=150),1,0)</f>
        <v>13</v>
      </c>
      <c r="AH164">
        <f t="shared" si="19"/>
        <v>19.483843434000001</v>
      </c>
      <c r="AI164">
        <f>IF(($D164*12)&lt;90,2,3)+IF(入力!$B$2="男",0,3)</f>
        <v>6</v>
      </c>
      <c r="AJ164">
        <f t="shared" si="20"/>
        <v>0.13782552859999991</v>
      </c>
      <c r="AK164">
        <f t="shared" si="17"/>
        <v>15.583539586722756</v>
      </c>
      <c r="AL164">
        <f t="shared" si="22"/>
        <v>16.619835246703563</v>
      </c>
      <c r="AM164">
        <f t="shared" si="22"/>
        <v>17.846912147395159</v>
      </c>
      <c r="AN164">
        <f t="shared" si="22"/>
        <v>19.483843434000001</v>
      </c>
      <c r="AO164">
        <f t="shared" si="22"/>
        <v>21.513255316999651</v>
      </c>
      <c r="AP164">
        <f t="shared" si="22"/>
        <v>23.814238253923588</v>
      </c>
      <c r="AQ164">
        <f t="shared" si="22"/>
        <v>26.729922130028875</v>
      </c>
    </row>
    <row r="165" spans="1:43" x14ac:dyDescent="0.15">
      <c r="A165">
        <f t="shared" si="16"/>
        <v>13</v>
      </c>
      <c r="B165" s="2">
        <v>5</v>
      </c>
      <c r="D165" s="3">
        <f t="shared" si="21"/>
        <v>13.416666666666666</v>
      </c>
      <c r="F165">
        <f>IF(入力!$B$2="男",成長曲線_男!E163,成長曲線_女!E163)</f>
        <v>154.9</v>
      </c>
      <c r="G165">
        <f>IF(入力!$B$2="男",成長曲線_男!F163,成長曲線_女!F163)</f>
        <v>5.4</v>
      </c>
      <c r="H165">
        <f>IF(入力!$B$2="男",成長曲線_男!G163,成長曲線_女!G163)</f>
        <v>165.70000000000002</v>
      </c>
      <c r="I165">
        <f>IF(入力!$B$2="男",成長曲線_男!H163,成長曲線_女!H163)</f>
        <v>160.30000000000001</v>
      </c>
      <c r="J165">
        <f>IF(入力!$B$2="男",成長曲線_男!I163,成長曲線_女!I163)</f>
        <v>149.5</v>
      </c>
      <c r="K165">
        <f>IF(入力!$B$2="男",成長曲線_男!J163,成長曲線_女!J163)</f>
        <v>144.1</v>
      </c>
      <c r="L165">
        <f>IF(入力!$B$2="男",成長曲線_男!K163,成長曲線_女!K163)</f>
        <v>141.4</v>
      </c>
      <c r="M165">
        <f>IF(入力!$B$2="男",成長曲線_男!L163,成長曲線_女!L163)</f>
        <v>138.69999999999999</v>
      </c>
      <c r="O165">
        <f>IF(入力!$B$2="男",成長曲線_男!N163,成長曲線_女!N163)</f>
        <v>48</v>
      </c>
      <c r="P165">
        <f>IF(入力!$B$2="男",成長曲線_男!O163,成長曲線_女!O163)</f>
        <v>8.27</v>
      </c>
      <c r="Q165">
        <f>IF(入力!$B$2="男",成長曲線_男!P163,成長曲線_女!P163)</f>
        <v>64.539999999999992</v>
      </c>
      <c r="R165">
        <f>IF(入力!$B$2="男",成長曲線_男!Q163,成長曲線_女!Q163)</f>
        <v>56.269999999999996</v>
      </c>
      <c r="S165">
        <f>IF(入力!$B$2="男",成長曲線_男!R163,成長曲線_女!R163)</f>
        <v>39.730000000000004</v>
      </c>
      <c r="T165">
        <f>IF(入力!$B$2="男",成長曲線_男!S163,成長曲線_女!S163)</f>
        <v>31.46</v>
      </c>
      <c r="AE165">
        <f>IF($D165*12&lt;150,IF($D165*12&lt;IF(入力!$B$2="男",78,69),2,3),4)+IF(入力!$B$2="男",0,4)</f>
        <v>8</v>
      </c>
      <c r="AF165">
        <f t="shared" si="18"/>
        <v>-1.3016460110799883</v>
      </c>
      <c r="AG165">
        <f>IF($D165*12&lt;90,IF($D165*12&lt;26.75,IF($D165*12&lt;9.5,IF($D165*12&lt;2.5,2,3),4),5),6)+IF(入力!$B$2="男",0,6)+IF(AND(入力!$B$2&lt;&gt;"男",$D165*12&gt;=150),1,0)</f>
        <v>13</v>
      </c>
      <c r="AH165">
        <f t="shared" si="19"/>
        <v>19.5462849221</v>
      </c>
      <c r="AI165">
        <f>IF(($D165*12)&lt;90,2,3)+IF(入力!$B$2="男",0,3)</f>
        <v>6</v>
      </c>
      <c r="AJ165">
        <f t="shared" si="20"/>
        <v>0.13768774395109989</v>
      </c>
      <c r="AK165">
        <f t="shared" si="17"/>
        <v>15.636642456375276</v>
      </c>
      <c r="AL165">
        <f t="shared" si="22"/>
        <v>16.675565119904729</v>
      </c>
      <c r="AM165">
        <f t="shared" si="22"/>
        <v>17.905616597296738</v>
      </c>
      <c r="AN165">
        <f t="shared" si="22"/>
        <v>19.5462849221</v>
      </c>
      <c r="AO165">
        <f t="shared" si="22"/>
        <v>21.579959944595288</v>
      </c>
      <c r="AP165">
        <f t="shared" si="22"/>
        <v>23.885275433097579</v>
      </c>
      <c r="AQ165">
        <f t="shared" si="22"/>
        <v>26.8056732012104</v>
      </c>
    </row>
    <row r="166" spans="1:43" x14ac:dyDescent="0.15">
      <c r="A166">
        <f t="shared" si="16"/>
        <v>13</v>
      </c>
      <c r="B166" s="2">
        <v>6</v>
      </c>
      <c r="D166" s="3">
        <f t="shared" si="21"/>
        <v>13.5</v>
      </c>
      <c r="F166">
        <f>IF(入力!$B$2="男",成長曲線_男!E164,成長曲線_女!E164)</f>
        <v>155.1</v>
      </c>
      <c r="G166">
        <f>IF(入力!$B$2="男",成長曲線_男!F164,成長曲線_女!F164)</f>
        <v>5.4</v>
      </c>
      <c r="H166">
        <f>IF(入力!$B$2="男",成長曲線_男!G164,成長曲線_女!G164)</f>
        <v>165.9</v>
      </c>
      <c r="I166">
        <f>IF(入力!$B$2="男",成長曲線_男!H164,成長曲線_女!H164)</f>
        <v>160.5</v>
      </c>
      <c r="J166">
        <f>IF(入力!$B$2="男",成長曲線_男!I164,成長曲線_女!I164)</f>
        <v>149.69999999999999</v>
      </c>
      <c r="K166">
        <f>IF(入力!$B$2="男",成長曲線_男!J164,成長曲線_女!J164)</f>
        <v>144.29999999999998</v>
      </c>
      <c r="L166">
        <f>IF(入力!$B$2="男",成長曲線_男!K164,成長曲線_女!K164)</f>
        <v>141.6</v>
      </c>
      <c r="M166">
        <f>IF(入力!$B$2="男",成長曲線_男!L164,成長曲線_女!L164)</f>
        <v>138.89999999999998</v>
      </c>
      <c r="O166">
        <f>IF(入力!$B$2="男",成長曲線_男!N164,成長曲線_女!N164)</f>
        <v>48.3</v>
      </c>
      <c r="P166">
        <f>IF(入力!$B$2="男",成長曲線_男!O164,成長曲線_女!O164)</f>
        <v>8.24</v>
      </c>
      <c r="Q166">
        <f>IF(入力!$B$2="男",成長曲線_男!P164,成長曲線_女!P164)</f>
        <v>64.78</v>
      </c>
      <c r="R166">
        <f>IF(入力!$B$2="男",成長曲線_男!Q164,成長曲線_女!Q164)</f>
        <v>56.54</v>
      </c>
      <c r="S166">
        <f>IF(入力!$B$2="男",成長曲線_男!R164,成長曲線_女!R164)</f>
        <v>40.059999999999995</v>
      </c>
      <c r="T166">
        <f>IF(入力!$B$2="男",成長曲線_男!S164,成長曲線_女!S164)</f>
        <v>31.819999999999997</v>
      </c>
      <c r="AE166">
        <f>IF($D166*12&lt;150,IF($D166*12&lt;IF(入力!$B$2="男",78,69),2,3),4)+IF(入力!$B$2="男",0,4)</f>
        <v>8</v>
      </c>
      <c r="AF166">
        <f t="shared" si="18"/>
        <v>-1.3027153110399965</v>
      </c>
      <c r="AG166">
        <f>IF($D166*12&lt;90,IF($D166*12&lt;26.75,IF($D166*12&lt;9.5,IF($D166*12&lt;2.5,2,3),4),5),6)+IF(入力!$B$2="男",0,6)+IF(AND(入力!$B$2&lt;&gt;"男",$D166*12&gt;=150),1,0)</f>
        <v>13</v>
      </c>
      <c r="AH166">
        <f t="shared" si="19"/>
        <v>19.607590404800007</v>
      </c>
      <c r="AI166">
        <f>IF(($D166*12)&lt;90,2,3)+IF(入力!$B$2="男",0,3)</f>
        <v>6</v>
      </c>
      <c r="AJ166">
        <f t="shared" si="20"/>
        <v>0.13754162617679988</v>
      </c>
      <c r="AK166">
        <f t="shared" si="17"/>
        <v>15.689289735199679</v>
      </c>
      <c r="AL166">
        <f t="shared" si="22"/>
        <v>16.730625081120802</v>
      </c>
      <c r="AM166">
        <f t="shared" si="22"/>
        <v>17.963426660387402</v>
      </c>
      <c r="AN166">
        <f t="shared" si="22"/>
        <v>19.607590404800007</v>
      </c>
      <c r="AO166">
        <f t="shared" si="22"/>
        <v>21.645335509020907</v>
      </c>
      <c r="AP166">
        <f t="shared" si="22"/>
        <v>23.954928229199005</v>
      </c>
      <c r="AQ166">
        <f t="shared" si="22"/>
        <v>26.880252956601765</v>
      </c>
    </row>
    <row r="167" spans="1:43" x14ac:dyDescent="0.15">
      <c r="A167">
        <f t="shared" si="16"/>
        <v>13</v>
      </c>
      <c r="B167" s="2">
        <v>7</v>
      </c>
      <c r="D167" s="3">
        <f t="shared" si="21"/>
        <v>13.583333333333334</v>
      </c>
      <c r="F167">
        <f>IF(入力!$B$2="男",成長曲線_男!E165,成長曲線_女!E165)</f>
        <v>155.19999999999999</v>
      </c>
      <c r="G167">
        <f>IF(入力!$B$2="男",成長曲線_男!F165,成長曲線_女!F165)</f>
        <v>5.4</v>
      </c>
      <c r="H167">
        <f>IF(入力!$B$2="男",成長曲線_男!G165,成長曲線_女!G165)</f>
        <v>166</v>
      </c>
      <c r="I167">
        <f>IF(入力!$B$2="男",成長曲線_男!H165,成長曲線_女!H165)</f>
        <v>160.6</v>
      </c>
      <c r="J167">
        <f>IF(入力!$B$2="男",成長曲線_男!I165,成長曲線_女!I165)</f>
        <v>149.79999999999998</v>
      </c>
      <c r="K167">
        <f>IF(入力!$B$2="男",成長曲線_男!J165,成長曲線_女!J165)</f>
        <v>144.39999999999998</v>
      </c>
      <c r="L167">
        <f>IF(入力!$B$2="男",成長曲線_男!K165,成長曲線_女!K165)</f>
        <v>141.69999999999999</v>
      </c>
      <c r="M167">
        <f>IF(入力!$B$2="男",成長曲線_男!L165,成長曲線_女!L165)</f>
        <v>139</v>
      </c>
      <c r="O167">
        <f>IF(入力!$B$2="男",成長曲線_男!N165,成長曲線_女!N165)</f>
        <v>48.7</v>
      </c>
      <c r="P167">
        <f>IF(入力!$B$2="男",成長曲線_男!O165,成長曲線_女!O165)</f>
        <v>8.2200000000000006</v>
      </c>
      <c r="Q167">
        <f>IF(入力!$B$2="男",成長曲線_男!P165,成長曲線_女!P165)</f>
        <v>65.14</v>
      </c>
      <c r="R167">
        <f>IF(入力!$B$2="男",成長曲線_男!Q165,成長曲線_女!Q165)</f>
        <v>56.92</v>
      </c>
      <c r="S167">
        <f>IF(入力!$B$2="男",成長曲線_男!R165,成長曲線_女!R165)</f>
        <v>40.480000000000004</v>
      </c>
      <c r="T167">
        <f>IF(入力!$B$2="男",成長曲線_男!S165,成長曲線_女!S165)</f>
        <v>32.260000000000005</v>
      </c>
      <c r="AE167">
        <f>IF($D167*12&lt;150,IF($D167*12&lt;IF(入力!$B$2="男",78,69),2,3),4)+IF(入力!$B$2="男",0,4)</f>
        <v>8</v>
      </c>
      <c r="AF167">
        <f t="shared" si="18"/>
        <v>-1.3044519739600062</v>
      </c>
      <c r="AG167">
        <f>IF($D167*12&lt;90,IF($D167*12&lt;26.75,IF($D167*12&lt;9.5,IF($D167*12&lt;2.5,2,3),4),5),6)+IF(入力!$B$2="男",0,6)+IF(AND(入力!$B$2&lt;&gt;"男",$D167*12&gt;=150),1,0)</f>
        <v>13</v>
      </c>
      <c r="AH167">
        <f t="shared" si="19"/>
        <v>19.667744840700003</v>
      </c>
      <c r="AI167">
        <f>IF(($D167*12)&lt;90,2,3)+IF(入力!$B$2="男",0,3)</f>
        <v>6</v>
      </c>
      <c r="AJ167">
        <f t="shared" si="20"/>
        <v>0.13738730177569991</v>
      </c>
      <c r="AK167">
        <f t="shared" si="17"/>
        <v>15.741457293762794</v>
      </c>
      <c r="AL167">
        <f t="shared" si="22"/>
        <v>16.784995167262316</v>
      </c>
      <c r="AM167">
        <f t="shared" si="22"/>
        <v>18.020325774948223</v>
      </c>
      <c r="AN167">
        <f t="shared" si="22"/>
        <v>19.667744840700003</v>
      </c>
      <c r="AO167">
        <f t="shared" si="22"/>
        <v>21.709363283688575</v>
      </c>
      <c r="AP167">
        <f t="shared" si="22"/>
        <v>24.023165121483235</v>
      </c>
      <c r="AQ167">
        <f t="shared" si="22"/>
        <v>26.953598576986419</v>
      </c>
    </row>
    <row r="168" spans="1:43" x14ac:dyDescent="0.15">
      <c r="A168">
        <f t="shared" si="16"/>
        <v>13</v>
      </c>
      <c r="B168" s="2">
        <v>8</v>
      </c>
      <c r="D168" s="3">
        <f t="shared" si="21"/>
        <v>13.666666666666666</v>
      </c>
      <c r="F168">
        <f>IF(入力!$B$2="男",成長曲線_男!E166,成長曲線_女!E166)</f>
        <v>155.4</v>
      </c>
      <c r="G168">
        <f>IF(入力!$B$2="男",成長曲線_男!F166,成長曲線_女!F166)</f>
        <v>5.4</v>
      </c>
      <c r="H168">
        <f>IF(入力!$B$2="男",成長曲線_男!G166,成長曲線_女!G166)</f>
        <v>166.20000000000002</v>
      </c>
      <c r="I168">
        <f>IF(入力!$B$2="男",成長曲線_男!H166,成長曲線_女!H166)</f>
        <v>160.80000000000001</v>
      </c>
      <c r="J168">
        <f>IF(入力!$B$2="男",成長曲線_男!I166,成長曲線_女!I166)</f>
        <v>150</v>
      </c>
      <c r="K168">
        <f>IF(入力!$B$2="男",成長曲線_男!J166,成長曲線_女!J166)</f>
        <v>144.6</v>
      </c>
      <c r="L168">
        <f>IF(入力!$B$2="男",成長曲線_男!K166,成長曲線_女!K166)</f>
        <v>141.9</v>
      </c>
      <c r="M168">
        <f>IF(入力!$B$2="男",成長曲線_男!L166,成長曲線_女!L166)</f>
        <v>139.19999999999999</v>
      </c>
      <c r="O168">
        <f>IF(入力!$B$2="男",成長曲線_男!N166,成長曲線_女!N166)</f>
        <v>48.9</v>
      </c>
      <c r="P168">
        <f>IF(入力!$B$2="男",成長曲線_男!O166,成長曲線_女!O166)</f>
        <v>8.19</v>
      </c>
      <c r="Q168">
        <f>IF(入力!$B$2="男",成長曲線_男!P166,成長曲線_女!P166)</f>
        <v>65.28</v>
      </c>
      <c r="R168">
        <f>IF(入力!$B$2="男",成長曲線_男!Q166,成長曲線_女!Q166)</f>
        <v>57.089999999999996</v>
      </c>
      <c r="S168">
        <f>IF(入力!$B$2="男",成長曲線_男!R166,成長曲線_女!R166)</f>
        <v>40.71</v>
      </c>
      <c r="T168">
        <f>IF(入力!$B$2="男",成長曲線_男!S166,成長曲線_女!S166)</f>
        <v>32.519999999999996</v>
      </c>
      <c r="AE168">
        <f>IF($D168*12&lt;150,IF($D168*12&lt;IF(入力!$B$2="男",78,69),2,3),4)+IF(入力!$B$2="男",0,4)</f>
        <v>8</v>
      </c>
      <c r="AF168">
        <f t="shared" si="18"/>
        <v>-1.3068235139200013</v>
      </c>
      <c r="AG168">
        <f>IF($D168*12&lt;90,IF($D168*12&lt;26.75,IF($D168*12&lt;9.5,IF($D168*12&lt;2.5,2,3),4),5),6)+IF(入力!$B$2="男",0,6)+IF(AND(入力!$B$2&lt;&gt;"男",$D168*12&gt;=150),1,0)</f>
        <v>13</v>
      </c>
      <c r="AH168">
        <f t="shared" si="19"/>
        <v>19.726733188400004</v>
      </c>
      <c r="AI168">
        <f>IF(($D168*12)&lt;90,2,3)+IF(入力!$B$2="男",0,3)</f>
        <v>6</v>
      </c>
      <c r="AJ168">
        <f t="shared" si="20"/>
        <v>0.13722489724639986</v>
      </c>
      <c r="AK168">
        <f t="shared" si="17"/>
        <v>15.793120517218053</v>
      </c>
      <c r="AL168">
        <f t="shared" si="22"/>
        <v>16.838655131258388</v>
      </c>
      <c r="AM168">
        <f t="shared" si="22"/>
        <v>18.076297264012467</v>
      </c>
      <c r="AN168">
        <f t="shared" si="22"/>
        <v>19.726733188400004</v>
      </c>
      <c r="AO168">
        <f t="shared" si="22"/>
        <v>21.772024547336088</v>
      </c>
      <c r="AP168">
        <f t="shared" si="22"/>
        <v>24.089954513655304</v>
      </c>
      <c r="AQ168">
        <f t="shared" si="22"/>
        <v>27.025647188624003</v>
      </c>
    </row>
    <row r="169" spans="1:43" x14ac:dyDescent="0.15">
      <c r="A169">
        <f t="shared" ref="A169:A214" si="23">A157+1</f>
        <v>13</v>
      </c>
      <c r="B169" s="2">
        <v>9</v>
      </c>
      <c r="D169" s="3">
        <f t="shared" si="21"/>
        <v>13.75</v>
      </c>
      <c r="F169">
        <f>IF(入力!$B$2="男",成長曲線_男!E167,成長曲線_女!E167)</f>
        <v>155.5</v>
      </c>
      <c r="G169">
        <f>IF(入力!$B$2="男",成長曲線_男!F167,成長曲線_女!F167)</f>
        <v>5.4</v>
      </c>
      <c r="H169">
        <f>IF(入力!$B$2="男",成長曲線_男!G167,成長曲線_女!G167)</f>
        <v>166.3</v>
      </c>
      <c r="I169">
        <f>IF(入力!$B$2="男",成長曲線_男!H167,成長曲線_女!H167)</f>
        <v>160.9</v>
      </c>
      <c r="J169">
        <f>IF(入力!$B$2="男",成長曲線_男!I167,成長曲線_女!I167)</f>
        <v>150.1</v>
      </c>
      <c r="K169">
        <f>IF(入力!$B$2="男",成長曲線_男!J167,成長曲線_女!J167)</f>
        <v>144.69999999999999</v>
      </c>
      <c r="L169">
        <f>IF(入力!$B$2="男",成長曲線_男!K167,成長曲線_女!K167)</f>
        <v>142</v>
      </c>
      <c r="M169">
        <f>IF(入力!$B$2="男",成長曲線_男!L167,成長曲線_女!L167)</f>
        <v>139.30000000000001</v>
      </c>
      <c r="O169">
        <f>IF(入力!$B$2="男",成長曲線_男!N167,成長曲線_女!N167)</f>
        <v>48.9</v>
      </c>
      <c r="P169">
        <f>IF(入力!$B$2="男",成長曲線_男!O167,成長曲線_女!O167)</f>
        <v>8.17</v>
      </c>
      <c r="Q169">
        <f>IF(入力!$B$2="男",成長曲線_男!P167,成長曲線_女!P167)</f>
        <v>65.239999999999995</v>
      </c>
      <c r="R169">
        <f>IF(入力!$B$2="男",成長曲線_男!Q167,成長曲線_女!Q167)</f>
        <v>57.07</v>
      </c>
      <c r="S169">
        <f>IF(入力!$B$2="男",成長曲線_男!R167,成長曲線_女!R167)</f>
        <v>40.729999999999997</v>
      </c>
      <c r="T169">
        <f>IF(入力!$B$2="男",成長曲線_男!S167,成長曲線_女!S167)</f>
        <v>32.56</v>
      </c>
      <c r="AE169">
        <f>IF($D169*12&lt;150,IF($D169*12&lt;IF(入力!$B$2="男",78,69),2,3),4)+IF(入力!$B$2="男",0,4)</f>
        <v>8</v>
      </c>
      <c r="AF169">
        <f t="shared" si="18"/>
        <v>-1.3097974449999938</v>
      </c>
      <c r="AG169">
        <f>IF($D169*12&lt;90,IF($D169*12&lt;26.75,IF($D169*12&lt;9.5,IF($D169*12&lt;2.5,2,3),4),5),6)+IF(入力!$B$2="男",0,6)+IF(AND(入力!$B$2&lt;&gt;"男",$D169*12&gt;=150),1,0)</f>
        <v>13</v>
      </c>
      <c r="AH169">
        <f t="shared" si="19"/>
        <v>19.7845404065</v>
      </c>
      <c r="AI169">
        <f>IF(($D169*12)&lt;90,2,3)+IF(入力!$B$2="男",0,3)</f>
        <v>6</v>
      </c>
      <c r="AJ169">
        <f t="shared" si="20"/>
        <v>0.13705453908749987</v>
      </c>
      <c r="AK169">
        <f t="shared" si="17"/>
        <v>15.844254341975077</v>
      </c>
      <c r="AL169">
        <f t="shared" si="22"/>
        <v>16.891584460711353</v>
      </c>
      <c r="AM169">
        <f t="shared" si="22"/>
        <v>18.131324340937631</v>
      </c>
      <c r="AN169">
        <f t="shared" si="22"/>
        <v>19.7845404065</v>
      </c>
      <c r="AO169">
        <f t="shared" si="22"/>
        <v>21.833300588335309</v>
      </c>
      <c r="AP169">
        <f t="shared" si="22"/>
        <v>24.155264739201574</v>
      </c>
      <c r="AQ169">
        <f t="shared" si="22"/>
        <v>27.09633581584713</v>
      </c>
    </row>
    <row r="170" spans="1:43" x14ac:dyDescent="0.15">
      <c r="A170">
        <f t="shared" si="23"/>
        <v>13</v>
      </c>
      <c r="B170" s="2">
        <v>10</v>
      </c>
      <c r="D170" s="3">
        <f t="shared" si="21"/>
        <v>13.833333333333334</v>
      </c>
      <c r="F170">
        <f>IF(入力!$B$2="男",成長曲線_男!E168,成長曲線_女!E168)</f>
        <v>155.69999999999999</v>
      </c>
      <c r="G170">
        <f>IF(入力!$B$2="男",成長曲線_男!F168,成長曲線_女!F168)</f>
        <v>5.4</v>
      </c>
      <c r="H170">
        <f>IF(入力!$B$2="男",成長曲線_男!G168,成長曲線_女!G168)</f>
        <v>166.5</v>
      </c>
      <c r="I170">
        <f>IF(入力!$B$2="男",成長曲線_男!H168,成長曲線_女!H168)</f>
        <v>161.1</v>
      </c>
      <c r="J170">
        <f>IF(入力!$B$2="男",成長曲線_男!I168,成長曲線_女!I168)</f>
        <v>150.29999999999998</v>
      </c>
      <c r="K170">
        <f>IF(入力!$B$2="男",成長曲線_男!J168,成長曲線_女!J168)</f>
        <v>144.89999999999998</v>
      </c>
      <c r="L170">
        <f>IF(入力!$B$2="男",成長曲線_男!K168,成長曲線_女!K168)</f>
        <v>142.19999999999999</v>
      </c>
      <c r="M170">
        <f>IF(入力!$B$2="男",成長曲線_男!L168,成長曲線_女!L168)</f>
        <v>139.5</v>
      </c>
      <c r="O170">
        <f>IF(入力!$B$2="男",成長曲線_男!N168,成長曲線_女!N168)</f>
        <v>49.1</v>
      </c>
      <c r="P170">
        <f>IF(入力!$B$2="男",成長曲線_男!O168,成長曲線_女!O168)</f>
        <v>8.14</v>
      </c>
      <c r="Q170">
        <f>IF(入力!$B$2="男",成長曲線_男!P168,成長曲線_女!P168)</f>
        <v>65.38</v>
      </c>
      <c r="R170">
        <f>IF(入力!$B$2="男",成長曲線_男!Q168,成長曲線_女!Q168)</f>
        <v>57.24</v>
      </c>
      <c r="S170">
        <f>IF(入力!$B$2="男",成長曲線_男!R168,成長曲線_女!R168)</f>
        <v>40.96</v>
      </c>
      <c r="T170">
        <f>IF(入力!$B$2="男",成長曲線_男!S168,成長曲線_女!S168)</f>
        <v>32.82</v>
      </c>
      <c r="AE170">
        <f>IF($D170*12&lt;150,IF($D170*12&lt;IF(入力!$B$2="男",78,69),2,3),4)+IF(入力!$B$2="男",0,4)</f>
        <v>8</v>
      </c>
      <c r="AF170">
        <f t="shared" si="18"/>
        <v>-1.3133412812799889</v>
      </c>
      <c r="AG170">
        <f>IF($D170*12&lt;90,IF($D170*12&lt;26.75,IF($D170*12&lt;9.5,IF($D170*12&lt;2.5,2,3),4),5),6)+IF(入力!$B$2="男",0,6)+IF(AND(入力!$B$2&lt;&gt;"男",$D170*12&gt;=150),1,0)</f>
        <v>13</v>
      </c>
      <c r="AH170">
        <f t="shared" si="19"/>
        <v>19.841151453600006</v>
      </c>
      <c r="AI170">
        <f>IF(($D170*12)&lt;90,2,3)+IF(入力!$B$2="男",0,3)</f>
        <v>6</v>
      </c>
      <c r="AJ170">
        <f t="shared" si="20"/>
        <v>0.13687635379759988</v>
      </c>
      <c r="AK170">
        <f t="shared" si="17"/>
        <v>15.894833291977891</v>
      </c>
      <c r="AL170">
        <f t="shared" si="22"/>
        <v>16.943762396404452</v>
      </c>
      <c r="AM170">
        <f t="shared" si="22"/>
        <v>18.185390114966175</v>
      </c>
      <c r="AN170">
        <f t="shared" si="22"/>
        <v>19.841151453600006</v>
      </c>
      <c r="AO170">
        <f t="shared" si="22"/>
        <v>21.893172709113198</v>
      </c>
      <c r="AP170">
        <f t="shared" si="22"/>
        <v>24.219064068142252</v>
      </c>
      <c r="AQ170">
        <f t="shared" si="22"/>
        <v>27.165601341704789</v>
      </c>
    </row>
    <row r="171" spans="1:43" x14ac:dyDescent="0.15">
      <c r="A171">
        <f t="shared" si="23"/>
        <v>13</v>
      </c>
      <c r="B171" s="2">
        <v>11</v>
      </c>
      <c r="D171" s="3">
        <f t="shared" si="21"/>
        <v>13.916666666666666</v>
      </c>
      <c r="F171">
        <f>IF(入力!$B$2="男",成長曲線_男!E169,成長曲線_女!E169)</f>
        <v>155.80000000000001</v>
      </c>
      <c r="G171">
        <f>IF(入力!$B$2="男",成長曲線_男!F169,成長曲線_女!F169)</f>
        <v>5.4</v>
      </c>
      <c r="H171">
        <f>IF(入力!$B$2="男",成長曲線_男!G169,成長曲線_女!G169)</f>
        <v>166.60000000000002</v>
      </c>
      <c r="I171">
        <f>IF(入力!$B$2="男",成長曲線_男!H169,成長曲線_女!H169)</f>
        <v>161.20000000000002</v>
      </c>
      <c r="J171">
        <f>IF(入力!$B$2="男",成長曲線_男!I169,成長曲線_女!I169)</f>
        <v>150.4</v>
      </c>
      <c r="K171">
        <f>IF(入力!$B$2="男",成長曲線_男!J169,成長曲線_女!J169)</f>
        <v>145</v>
      </c>
      <c r="L171">
        <f>IF(入力!$B$2="男",成長曲線_男!K169,成長曲線_女!K169)</f>
        <v>142.30000000000001</v>
      </c>
      <c r="M171">
        <f>IF(入力!$B$2="男",成長曲線_男!L169,成長曲線_女!L169)</f>
        <v>139.60000000000002</v>
      </c>
      <c r="O171">
        <f>IF(入力!$B$2="男",成長曲線_男!N169,成長曲線_女!N169)</f>
        <v>49.3</v>
      </c>
      <c r="P171">
        <f>IF(入力!$B$2="男",成長曲線_男!O169,成長曲線_女!O169)</f>
        <v>8.1199999999999992</v>
      </c>
      <c r="Q171">
        <f>IF(入力!$B$2="男",成長曲線_男!P169,成長曲線_女!P169)</f>
        <v>65.539999999999992</v>
      </c>
      <c r="R171">
        <f>IF(入力!$B$2="男",成長曲線_男!Q169,成長曲線_女!Q169)</f>
        <v>57.419999999999995</v>
      </c>
      <c r="S171">
        <f>IF(入力!$B$2="男",成長曲線_男!R169,成長曲線_女!R169)</f>
        <v>41.18</v>
      </c>
      <c r="T171">
        <f>IF(入力!$B$2="男",成長曲線_男!S169,成長曲線_女!S169)</f>
        <v>33.06</v>
      </c>
      <c r="AE171">
        <f>IF($D171*12&lt;150,IF($D171*12&lt;IF(入力!$B$2="男",78,69),2,3),4)+IF(入力!$B$2="男",0,4)</f>
        <v>8</v>
      </c>
      <c r="AF171">
        <f t="shared" si="18"/>
        <v>-1.3174225368400059</v>
      </c>
      <c r="AG171">
        <f>IF($D171*12&lt;90,IF($D171*12&lt;26.75,IF($D171*12&lt;9.5,IF($D171*12&lt;2.5,2,3),4),5),6)+IF(入力!$B$2="男",0,6)+IF(AND(入力!$B$2&lt;&gt;"男",$D171*12&gt;=150),1,0)</f>
        <v>13</v>
      </c>
      <c r="AH171">
        <f t="shared" si="19"/>
        <v>19.896551288300003</v>
      </c>
      <c r="AI171">
        <f>IF(($D171*12)&lt;90,2,3)+IF(入力!$B$2="男",0,3)</f>
        <v>6</v>
      </c>
      <c r="AJ171">
        <f t="shared" si="20"/>
        <v>0.13669046787529993</v>
      </c>
      <c r="AK171">
        <f t="shared" si="17"/>
        <v>15.944831514448532</v>
      </c>
      <c r="AL171">
        <f t="shared" si="22"/>
        <v>16.995167950599381</v>
      </c>
      <c r="AM171">
        <f t="shared" si="22"/>
        <v>18.23847759676012</v>
      </c>
      <c r="AN171">
        <f t="shared" si="22"/>
        <v>19.896551288300003</v>
      </c>
      <c r="AO171">
        <f t="shared" si="22"/>
        <v>21.95162223068337</v>
      </c>
      <c r="AP171">
        <f t="shared" si="22"/>
        <v>24.281320715216793</v>
      </c>
      <c r="AQ171">
        <f t="shared" si="22"/>
        <v>27.233380476550405</v>
      </c>
    </row>
    <row r="172" spans="1:43" x14ac:dyDescent="0.15">
      <c r="A172">
        <f t="shared" si="23"/>
        <v>14</v>
      </c>
      <c r="B172" s="2">
        <v>0</v>
      </c>
      <c r="D172" s="3">
        <f t="shared" si="21"/>
        <v>14</v>
      </c>
      <c r="F172">
        <f>IF(入力!$B$2="男",成長曲線_男!E170,成長曲線_女!E170)</f>
        <v>156</v>
      </c>
      <c r="G172">
        <f>IF(入力!$B$2="男",成長曲線_男!F170,成長曲線_女!F170)</f>
        <v>5.4</v>
      </c>
      <c r="H172">
        <f>IF(入力!$B$2="男",成長曲線_男!G170,成長曲線_女!G170)</f>
        <v>166.8</v>
      </c>
      <c r="I172">
        <f>IF(入力!$B$2="男",成長曲線_男!H170,成長曲線_女!H170)</f>
        <v>161.4</v>
      </c>
      <c r="J172">
        <f>IF(入力!$B$2="男",成長曲線_男!I170,成長曲線_女!I170)</f>
        <v>150.6</v>
      </c>
      <c r="K172">
        <f>IF(入力!$B$2="男",成長曲線_男!J170,成長曲線_女!J170)</f>
        <v>145.19999999999999</v>
      </c>
      <c r="L172">
        <f>IF(入力!$B$2="男",成長曲線_男!K170,成長曲線_女!K170)</f>
        <v>142.5</v>
      </c>
      <c r="M172">
        <f>IF(入力!$B$2="男",成長曲線_男!L170,成長曲線_女!L170)</f>
        <v>139.80000000000001</v>
      </c>
      <c r="O172">
        <f>IF(入力!$B$2="男",成長曲線_男!N170,成長曲線_女!N170)</f>
        <v>49.5</v>
      </c>
      <c r="P172">
        <f>IF(入力!$B$2="男",成長曲線_男!O170,成長曲線_女!O170)</f>
        <v>8.1</v>
      </c>
      <c r="Q172">
        <f>IF(入力!$B$2="男",成長曲線_男!P170,成長曲線_女!P170)</f>
        <v>65.7</v>
      </c>
      <c r="R172">
        <f>IF(入力!$B$2="男",成長曲線_男!Q170,成長曲線_女!Q170)</f>
        <v>57.6</v>
      </c>
      <c r="S172">
        <f>IF(入力!$B$2="男",成長曲線_男!R170,成長曲線_女!R170)</f>
        <v>41.4</v>
      </c>
      <c r="T172">
        <f>IF(入力!$B$2="男",成長曲線_男!S170,成長曲線_女!S170)</f>
        <v>33.299999999999997</v>
      </c>
      <c r="AE172">
        <f>IF($D172*12&lt;150,IF($D172*12&lt;IF(入力!$B$2="男",78,69),2,3),4)+IF(入力!$B$2="男",0,4)</f>
        <v>8</v>
      </c>
      <c r="AF172">
        <f t="shared" si="18"/>
        <v>-1.3220087257600071</v>
      </c>
      <c r="AG172">
        <f>IF($D172*12&lt;90,IF($D172*12&lt;26.75,IF($D172*12&lt;9.5,IF($D172*12&lt;2.5,2,3),4),5),6)+IF(入力!$B$2="男",0,6)+IF(AND(入力!$B$2&lt;&gt;"男",$D172*12&gt;=150),1,0)</f>
        <v>13</v>
      </c>
      <c r="AH172">
        <f t="shared" si="19"/>
        <v>19.950724869200002</v>
      </c>
      <c r="AI172">
        <f>IF(($D172*12)&lt;90,2,3)+IF(入力!$B$2="男",0,3)</f>
        <v>6</v>
      </c>
      <c r="AJ172">
        <f t="shared" si="20"/>
        <v>0.13649700781919988</v>
      </c>
      <c r="AK172">
        <f t="shared" si="17"/>
        <v>15.994222814965253</v>
      </c>
      <c r="AL172">
        <f t="shared" si="22"/>
        <v>17.045779925066043</v>
      </c>
      <c r="AM172">
        <f t="shared" si="22"/>
        <v>18.290569703895478</v>
      </c>
      <c r="AN172">
        <f t="shared" si="22"/>
        <v>19.950724869200002</v>
      </c>
      <c r="AO172">
        <f t="shared" si="22"/>
        <v>22.008630497285903</v>
      </c>
      <c r="AP172">
        <f t="shared" si="22"/>
        <v>24.342002849513342</v>
      </c>
      <c r="AQ172">
        <f t="shared" si="22"/>
        <v>27.299609734516519</v>
      </c>
    </row>
    <row r="173" spans="1:43" x14ac:dyDescent="0.15">
      <c r="A173">
        <f t="shared" si="23"/>
        <v>14</v>
      </c>
      <c r="B173" s="2">
        <v>1</v>
      </c>
      <c r="D173" s="3">
        <f t="shared" si="21"/>
        <v>14.083333333333334</v>
      </c>
      <c r="F173">
        <f>IF(入力!$B$2="男",成長曲線_男!E171,成長曲線_女!E171)</f>
        <v>156.1</v>
      </c>
      <c r="G173">
        <f>IF(入力!$B$2="男",成長曲線_男!F171,成長曲線_女!F171)</f>
        <v>5.3</v>
      </c>
      <c r="H173">
        <f>IF(入力!$B$2="男",成長曲線_男!G171,成長曲線_女!G171)</f>
        <v>166.7</v>
      </c>
      <c r="I173">
        <f>IF(入力!$B$2="男",成長曲線_男!H171,成長曲線_女!H171)</f>
        <v>161.4</v>
      </c>
      <c r="J173">
        <f>IF(入力!$B$2="男",成長曲線_男!I171,成長曲線_女!I171)</f>
        <v>150.79999999999998</v>
      </c>
      <c r="K173">
        <f>IF(入力!$B$2="男",成長曲線_男!J171,成長曲線_女!J171)</f>
        <v>145.5</v>
      </c>
      <c r="L173">
        <f>IF(入力!$B$2="男",成長曲線_男!K171,成長曲線_女!K171)</f>
        <v>142.85</v>
      </c>
      <c r="M173">
        <f>IF(入力!$B$2="男",成長曲線_男!L171,成長曲線_女!L171)</f>
        <v>140.19999999999999</v>
      </c>
      <c r="O173">
        <f>IF(入力!$B$2="男",成長曲線_男!N171,成長曲線_女!N171)</f>
        <v>49.7</v>
      </c>
      <c r="P173">
        <f>IF(入力!$B$2="男",成長曲線_男!O171,成長曲線_女!O171)</f>
        <v>8.07</v>
      </c>
      <c r="Q173">
        <f>IF(入力!$B$2="男",成長曲線_男!P171,成長曲線_女!P171)</f>
        <v>65.84</v>
      </c>
      <c r="R173">
        <f>IF(入力!$B$2="男",成長曲線_男!Q171,成長曲線_女!Q171)</f>
        <v>57.77</v>
      </c>
      <c r="S173">
        <f>IF(入力!$B$2="男",成長曲線_男!R171,成長曲線_女!R171)</f>
        <v>41.63</v>
      </c>
      <c r="T173">
        <f>IF(入力!$B$2="男",成長曲線_男!S171,成長曲線_女!S171)</f>
        <v>33.56</v>
      </c>
      <c r="AE173">
        <f>IF($D173*12&lt;150,IF($D173*12&lt;IF(入力!$B$2="男",78,69),2,3),4)+IF(入力!$B$2="男",0,4)</f>
        <v>8</v>
      </c>
      <c r="AF173">
        <f t="shared" si="18"/>
        <v>-1.3270673621200046</v>
      </c>
      <c r="AG173">
        <f>IF($D173*12&lt;90,IF($D173*12&lt;26.75,IF($D173*12&lt;9.5,IF($D173*12&lt;2.5,2,3),4),5),6)+IF(入力!$B$2="男",0,6)+IF(AND(入力!$B$2&lt;&gt;"男",$D173*12&gt;=150),1,0)</f>
        <v>13</v>
      </c>
      <c r="AH173">
        <f t="shared" si="19"/>
        <v>20.003657154900001</v>
      </c>
      <c r="AI173">
        <f>IF(($D173*12)&lt;90,2,3)+IF(入力!$B$2="男",0,3)</f>
        <v>6</v>
      </c>
      <c r="AJ173">
        <f t="shared" si="20"/>
        <v>0.13629610012789989</v>
      </c>
      <c r="AK173">
        <f t="shared" si="17"/>
        <v>16.042980691756657</v>
      </c>
      <c r="AL173">
        <f t="shared" si="22"/>
        <v>17.095576928790983</v>
      </c>
      <c r="AM173">
        <f t="shared" si="22"/>
        <v>18.341649266303413</v>
      </c>
      <c r="AN173">
        <f t="shared" si="22"/>
        <v>20.003657154900001</v>
      </c>
      <c r="AO173">
        <f t="shared" si="22"/>
        <v>22.064178881132317</v>
      </c>
      <c r="AP173">
        <f t="shared" si="22"/>
        <v>24.401078605552161</v>
      </c>
      <c r="AQ173">
        <f t="shared" si="22"/>
        <v>27.364225417854644</v>
      </c>
    </row>
    <row r="174" spans="1:43" x14ac:dyDescent="0.15">
      <c r="A174">
        <f t="shared" si="23"/>
        <v>14</v>
      </c>
      <c r="B174" s="2">
        <v>2</v>
      </c>
      <c r="D174" s="3">
        <f t="shared" si="21"/>
        <v>14.166666666666666</v>
      </c>
      <c r="F174">
        <f>IF(入力!$B$2="男",成長曲線_男!E172,成長曲線_女!E172)</f>
        <v>156.19999999999999</v>
      </c>
      <c r="G174">
        <f>IF(入力!$B$2="男",成長曲線_男!F172,成長曲線_女!F172)</f>
        <v>5.3</v>
      </c>
      <c r="H174">
        <f>IF(入力!$B$2="男",成長曲線_男!G172,成長曲線_女!G172)</f>
        <v>166.79999999999998</v>
      </c>
      <c r="I174">
        <f>IF(入力!$B$2="男",成長曲線_男!H172,成長曲線_女!H172)</f>
        <v>161.5</v>
      </c>
      <c r="J174">
        <f>IF(入力!$B$2="男",成長曲線_男!I172,成長曲線_女!I172)</f>
        <v>150.89999999999998</v>
      </c>
      <c r="K174">
        <f>IF(入力!$B$2="男",成長曲線_男!J172,成長曲線_女!J172)</f>
        <v>145.6</v>
      </c>
      <c r="L174">
        <f>IF(入力!$B$2="男",成長曲線_男!K172,成長曲線_女!K172)</f>
        <v>142.94999999999999</v>
      </c>
      <c r="M174">
        <f>IF(入力!$B$2="男",成長曲線_男!L172,成長曲線_女!L172)</f>
        <v>140.29999999999998</v>
      </c>
      <c r="O174">
        <f>IF(入力!$B$2="男",成長曲線_男!N172,成長曲線_女!N172)</f>
        <v>49.9</v>
      </c>
      <c r="P174">
        <f>IF(入力!$B$2="男",成長曲線_男!O172,成長曲線_女!O172)</f>
        <v>8.0500000000000007</v>
      </c>
      <c r="Q174">
        <f>IF(入力!$B$2="男",成長曲線_男!P172,成長曲線_女!P172)</f>
        <v>66</v>
      </c>
      <c r="R174">
        <f>IF(入力!$B$2="男",成長曲線_男!Q172,成長曲線_女!Q172)</f>
        <v>57.95</v>
      </c>
      <c r="S174">
        <f>IF(入力!$B$2="男",成長曲線_男!R172,成長曲線_女!R172)</f>
        <v>41.849999999999994</v>
      </c>
      <c r="T174">
        <f>IF(入力!$B$2="男",成長曲線_男!S172,成長曲線_女!S172)</f>
        <v>33.799999999999997</v>
      </c>
      <c r="AE174">
        <f>IF($D174*12&lt;150,IF($D174*12&lt;IF(入力!$B$2="男",78,69),2,3),4)+IF(入力!$B$2="男",0,4)</f>
        <v>8</v>
      </c>
      <c r="AF174">
        <f t="shared" si="18"/>
        <v>-1.3325659599999895</v>
      </c>
      <c r="AG174">
        <f>IF($D174*12&lt;90,IF($D174*12&lt;26.75,IF($D174*12&lt;9.5,IF($D174*12&lt;2.5,2,3),4),5),6)+IF(入力!$B$2="男",0,6)+IF(AND(入力!$B$2&lt;&gt;"男",$D174*12&gt;=150),1,0)</f>
        <v>13</v>
      </c>
      <c r="AH174">
        <f t="shared" si="19"/>
        <v>20.055333104000002</v>
      </c>
      <c r="AI174">
        <f>IF(($D174*12)&lt;90,2,3)+IF(入力!$B$2="男",0,3)</f>
        <v>6</v>
      </c>
      <c r="AJ174">
        <f t="shared" si="20"/>
        <v>0.13608787129999994</v>
      </c>
      <c r="AK174">
        <f t="shared" si="17"/>
        <v>16.091078369105578</v>
      </c>
      <c r="AL174">
        <f t="shared" si="22"/>
        <v>17.144537395316373</v>
      </c>
      <c r="AM174">
        <f t="shared" si="22"/>
        <v>18.39169903164591</v>
      </c>
      <c r="AN174">
        <f t="shared" si="22"/>
        <v>20.055333104000002</v>
      </c>
      <c r="AO174">
        <f t="shared" si="22"/>
        <v>22.118248787251911</v>
      </c>
      <c r="AP174">
        <f t="shared" si="22"/>
        <v>24.458516095830721</v>
      </c>
      <c r="AQ174">
        <f t="shared" si="22"/>
        <v>27.427163609148923</v>
      </c>
    </row>
    <row r="175" spans="1:43" x14ac:dyDescent="0.15">
      <c r="A175">
        <f t="shared" si="23"/>
        <v>14</v>
      </c>
      <c r="B175" s="2">
        <v>3</v>
      </c>
      <c r="D175" s="3">
        <f t="shared" si="21"/>
        <v>14.25</v>
      </c>
      <c r="F175">
        <f>IF(入力!$B$2="男",成長曲線_男!E173,成長曲線_女!E173)</f>
        <v>156.4</v>
      </c>
      <c r="G175">
        <f>IF(入力!$B$2="男",成長曲線_男!F173,成長曲線_女!F173)</f>
        <v>5.3</v>
      </c>
      <c r="H175">
        <f>IF(入力!$B$2="男",成長曲線_男!G173,成長曲線_女!G173)</f>
        <v>167</v>
      </c>
      <c r="I175">
        <f>IF(入力!$B$2="男",成長曲線_男!H173,成長曲線_女!H173)</f>
        <v>161.70000000000002</v>
      </c>
      <c r="J175">
        <f>IF(入力!$B$2="男",成長曲線_男!I173,成長曲線_女!I173)</f>
        <v>151.1</v>
      </c>
      <c r="K175">
        <f>IF(入力!$B$2="男",成長曲線_男!J173,成長曲線_女!J173)</f>
        <v>145.80000000000001</v>
      </c>
      <c r="L175">
        <f>IF(入力!$B$2="男",成長曲線_男!K173,成長曲線_女!K173)</f>
        <v>143.15</v>
      </c>
      <c r="M175">
        <f>IF(入力!$B$2="男",成長曲線_男!L173,成長曲線_女!L173)</f>
        <v>140.5</v>
      </c>
      <c r="O175">
        <f>IF(入力!$B$2="男",成長曲線_男!N173,成長曲線_女!N173)</f>
        <v>50.1</v>
      </c>
      <c r="P175">
        <f>IF(入力!$B$2="男",成長曲線_男!O173,成長曲線_女!O173)</f>
        <v>8.02</v>
      </c>
      <c r="Q175">
        <f>IF(入力!$B$2="男",成長曲線_男!P173,成長曲線_女!P173)</f>
        <v>66.14</v>
      </c>
      <c r="R175">
        <f>IF(入力!$B$2="男",成長曲線_男!Q173,成長曲線_女!Q173)</f>
        <v>58.120000000000005</v>
      </c>
      <c r="S175">
        <f>IF(入力!$B$2="男",成長曲線_男!R173,成長曲線_女!R173)</f>
        <v>42.08</v>
      </c>
      <c r="T175">
        <f>IF(入力!$B$2="男",成長曲線_男!S173,成長曲線_女!S173)</f>
        <v>34.06</v>
      </c>
      <c r="AE175">
        <f>IF($D175*12&lt;150,IF($D175*12&lt;IF(入力!$B$2="男",78,69),2,3),4)+IF(入力!$B$2="男",0,4)</f>
        <v>8</v>
      </c>
      <c r="AF175">
        <f t="shared" si="18"/>
        <v>-1.3384720334800022</v>
      </c>
      <c r="AG175">
        <f>IF($D175*12&lt;90,IF($D175*12&lt;26.75,IF($D175*12&lt;9.5,IF($D175*12&lt;2.5,2,3),4),5),6)+IF(入力!$B$2="男",0,6)+IF(AND(入力!$B$2&lt;&gt;"男",$D175*12&gt;=150),1,0)</f>
        <v>13</v>
      </c>
      <c r="AH175">
        <f t="shared" si="19"/>
        <v>20.105737675100002</v>
      </c>
      <c r="AI175">
        <f>IF(($D175*12)&lt;90,2,3)+IF(入力!$B$2="男",0,3)</f>
        <v>6</v>
      </c>
      <c r="AJ175">
        <f t="shared" si="20"/>
        <v>0.13587244783409996</v>
      </c>
      <c r="AK175">
        <f t="shared" si="17"/>
        <v>16.13848882976874</v>
      </c>
      <c r="AL175">
        <f t="shared" si="22"/>
        <v>17.19263959966597</v>
      </c>
      <c r="AM175">
        <f t="shared" si="22"/>
        <v>18.440701670614807</v>
      </c>
      <c r="AN175">
        <f t="shared" si="22"/>
        <v>20.105737675100002</v>
      </c>
      <c r="AO175">
        <f t="shared" si="22"/>
        <v>22.170821658435113</v>
      </c>
      <c r="AP175">
        <f t="shared" si="22"/>
        <v>24.514283424835973</v>
      </c>
      <c r="AQ175">
        <f t="shared" si="22"/>
        <v>27.488360171436717</v>
      </c>
    </row>
    <row r="176" spans="1:43" x14ac:dyDescent="0.15">
      <c r="A176">
        <f t="shared" si="23"/>
        <v>14</v>
      </c>
      <c r="B176" s="2">
        <v>4</v>
      </c>
      <c r="D176" s="3">
        <f t="shared" si="21"/>
        <v>14.333333333333334</v>
      </c>
      <c r="F176">
        <f>IF(入力!$B$2="男",成長曲線_男!E174,成長曲線_女!E174)</f>
        <v>156.5</v>
      </c>
      <c r="G176">
        <f>IF(入力!$B$2="男",成長曲線_男!F174,成長曲線_女!F174)</f>
        <v>5.3</v>
      </c>
      <c r="H176">
        <f>IF(入力!$B$2="男",成長曲線_男!G174,成長曲線_女!G174)</f>
        <v>167.1</v>
      </c>
      <c r="I176">
        <f>IF(入力!$B$2="男",成長曲線_男!H174,成長曲線_女!H174)</f>
        <v>161.80000000000001</v>
      </c>
      <c r="J176">
        <f>IF(入力!$B$2="男",成長曲線_男!I174,成長曲線_女!I174)</f>
        <v>151.19999999999999</v>
      </c>
      <c r="K176">
        <f>IF(入力!$B$2="男",成長曲線_男!J174,成長曲線_女!J174)</f>
        <v>145.9</v>
      </c>
      <c r="L176">
        <f>IF(入力!$B$2="男",成長曲線_男!K174,成長曲線_女!K174)</f>
        <v>143.25</v>
      </c>
      <c r="M176">
        <f>IF(入力!$B$2="男",成長曲線_男!L174,成長曲線_女!L174)</f>
        <v>140.6</v>
      </c>
      <c r="O176">
        <f>IF(入力!$B$2="男",成長曲線_男!N174,成長曲線_女!N174)</f>
        <v>50.3</v>
      </c>
      <c r="P176">
        <f>IF(入力!$B$2="男",成長曲線_男!O174,成長曲線_女!O174)</f>
        <v>8</v>
      </c>
      <c r="Q176">
        <f>IF(入力!$B$2="男",成長曲線_男!P174,成長曲線_女!P174)</f>
        <v>66.3</v>
      </c>
      <c r="R176">
        <f>IF(入力!$B$2="男",成長曲線_男!Q174,成長曲線_女!Q174)</f>
        <v>58.3</v>
      </c>
      <c r="S176">
        <f>IF(入力!$B$2="男",成長曲線_男!R174,成長曲線_女!R174)</f>
        <v>42.3</v>
      </c>
      <c r="T176">
        <f>IF(入力!$B$2="男",成長曲線_男!S174,成長曲線_女!S174)</f>
        <v>34.299999999999997</v>
      </c>
      <c r="AE176">
        <f>IF($D176*12&lt;150,IF($D176*12&lt;IF(入力!$B$2="男",78,69),2,3),4)+IF(入力!$B$2="男",0,4)</f>
        <v>8</v>
      </c>
      <c r="AF176">
        <f t="shared" si="18"/>
        <v>-1.3447530966399981</v>
      </c>
      <c r="AG176">
        <f>IF($D176*12&lt;90,IF($D176*12&lt;26.75,IF($D176*12&lt;9.5,IF($D176*12&lt;2.5,2,3),4),5),6)+IF(入力!$B$2="男",0,6)+IF(AND(入力!$B$2&lt;&gt;"男",$D176*12&gt;=150),1,0)</f>
        <v>13</v>
      </c>
      <c r="AH176">
        <f t="shared" si="19"/>
        <v>20.154855826800002</v>
      </c>
      <c r="AI176">
        <f>IF(($D176*12)&lt;90,2,3)+IF(入力!$B$2="男",0,3)</f>
        <v>6</v>
      </c>
      <c r="AJ176">
        <f t="shared" si="20"/>
        <v>0.13564995622879988</v>
      </c>
      <c r="AK176">
        <f t="shared" si="17"/>
        <v>16.185184846330095</v>
      </c>
      <c r="AL176">
        <f t="shared" si="22"/>
        <v>17.239861674819313</v>
      </c>
      <c r="AM176">
        <f t="shared" si="22"/>
        <v>18.488639782143753</v>
      </c>
      <c r="AN176">
        <f t="shared" si="22"/>
        <v>20.154855826800002</v>
      </c>
      <c r="AO176">
        <f t="shared" si="22"/>
        <v>22.221878980268816</v>
      </c>
      <c r="AP176">
        <f t="shared" si="22"/>
        <v>24.56834870452554</v>
      </c>
      <c r="AQ176">
        <f t="shared" si="22"/>
        <v>27.547750756286536</v>
      </c>
    </row>
    <row r="177" spans="1:43" x14ac:dyDescent="0.15">
      <c r="A177">
        <f t="shared" si="23"/>
        <v>14</v>
      </c>
      <c r="B177" s="2">
        <v>5</v>
      </c>
      <c r="D177" s="3">
        <f t="shared" si="21"/>
        <v>14.416666666666666</v>
      </c>
      <c r="F177">
        <f>IF(入力!$B$2="男",成長曲線_男!E175,成長曲線_女!E175)</f>
        <v>156.69999999999999</v>
      </c>
      <c r="G177">
        <f>IF(入力!$B$2="男",成長曲線_男!F175,成長曲線_女!F175)</f>
        <v>5.3</v>
      </c>
      <c r="H177">
        <f>IF(入力!$B$2="男",成長曲線_男!G175,成長曲線_女!G175)</f>
        <v>167.29999999999998</v>
      </c>
      <c r="I177">
        <f>IF(入力!$B$2="男",成長曲線_男!H175,成長曲線_女!H175)</f>
        <v>162</v>
      </c>
      <c r="J177">
        <f>IF(入力!$B$2="男",成長曲線_男!I175,成長曲線_女!I175)</f>
        <v>151.39999999999998</v>
      </c>
      <c r="K177">
        <f>IF(入力!$B$2="男",成長曲線_男!J175,成長曲線_女!J175)</f>
        <v>146.1</v>
      </c>
      <c r="L177">
        <f>IF(入力!$B$2="男",成長曲線_男!K175,成長曲線_女!K175)</f>
        <v>143.44999999999999</v>
      </c>
      <c r="M177">
        <f>IF(入力!$B$2="男",成長曲線_男!L175,成長曲線_女!L175)</f>
        <v>140.79999999999998</v>
      </c>
      <c r="O177">
        <f>IF(入力!$B$2="男",成長曲線_男!N175,成長曲線_女!N175)</f>
        <v>50.5</v>
      </c>
      <c r="P177">
        <f>IF(入力!$B$2="男",成長曲線_男!O175,成長曲線_女!O175)</f>
        <v>7.97</v>
      </c>
      <c r="Q177">
        <f>IF(入力!$B$2="男",成長曲線_男!P175,成長曲線_女!P175)</f>
        <v>66.44</v>
      </c>
      <c r="R177">
        <f>IF(入力!$B$2="男",成長曲線_男!Q175,成長曲線_女!Q175)</f>
        <v>58.47</v>
      </c>
      <c r="S177">
        <f>IF(入力!$B$2="男",成長曲線_男!R175,成長曲線_女!R175)</f>
        <v>42.53</v>
      </c>
      <c r="T177">
        <f>IF(入力!$B$2="男",成長曲線_男!S175,成長曲線_女!S175)</f>
        <v>34.56</v>
      </c>
      <c r="AE177">
        <f>IF($D177*12&lt;150,IF($D177*12&lt;IF(入力!$B$2="男",78,69),2,3),4)+IF(入力!$B$2="男",0,4)</f>
        <v>8</v>
      </c>
      <c r="AF177">
        <f t="shared" si="18"/>
        <v>-1.3513766635600106</v>
      </c>
      <c r="AG177">
        <f>IF($D177*12&lt;90,IF($D177*12&lt;26.75,IF($D177*12&lt;9.5,IF($D177*12&lt;2.5,2,3),4),5),6)+IF(入力!$B$2="男",0,6)+IF(AND(入力!$B$2&lt;&gt;"男",$D177*12&gt;=150),1,0)</f>
        <v>13</v>
      </c>
      <c r="AH177">
        <f t="shared" si="19"/>
        <v>20.202672517700002</v>
      </c>
      <c r="AI177">
        <f>IF(($D177*12)&lt;90,2,3)+IF(入力!$B$2="男",0,3)</f>
        <v>6</v>
      </c>
      <c r="AJ177">
        <f t="shared" si="20"/>
        <v>0.13542052298269985</v>
      </c>
      <c r="AK177">
        <f t="shared" si="17"/>
        <v>16.231139011417685</v>
      </c>
      <c r="AL177">
        <f t="shared" si="22"/>
        <v>17.286181627700209</v>
      </c>
      <c r="AM177">
        <f t="shared" si="22"/>
        <v>18.53549589852366</v>
      </c>
      <c r="AN177">
        <f t="shared" si="22"/>
        <v>20.202672517700002</v>
      </c>
      <c r="AO177">
        <f t="shared" si="22"/>
        <v>22.271402286257882</v>
      </c>
      <c r="AP177">
        <f t="shared" si="22"/>
        <v>24.620680071276418</v>
      </c>
      <c r="AQ177">
        <f t="shared" si="22"/>
        <v>27.605270819896081</v>
      </c>
    </row>
    <row r="178" spans="1:43" x14ac:dyDescent="0.15">
      <c r="A178">
        <f t="shared" si="23"/>
        <v>14</v>
      </c>
      <c r="B178" s="2">
        <v>6</v>
      </c>
      <c r="D178" s="3">
        <f t="shared" si="21"/>
        <v>14.5</v>
      </c>
      <c r="F178">
        <f>IF(入力!$B$2="男",成長曲線_男!E176,成長曲線_女!E176)</f>
        <v>156.80000000000001</v>
      </c>
      <c r="G178">
        <f>IF(入力!$B$2="男",成長曲線_男!F176,成長曲線_女!F176)</f>
        <v>5.3</v>
      </c>
      <c r="H178">
        <f>IF(入力!$B$2="男",成長曲線_男!G176,成長曲線_女!G176)</f>
        <v>167.4</v>
      </c>
      <c r="I178">
        <f>IF(入力!$B$2="男",成長曲線_男!H176,成長曲線_女!H176)</f>
        <v>162.10000000000002</v>
      </c>
      <c r="J178">
        <f>IF(入力!$B$2="男",成長曲線_男!I176,成長曲線_女!I176)</f>
        <v>151.5</v>
      </c>
      <c r="K178">
        <f>IF(入力!$B$2="男",成長曲線_男!J176,成長曲線_女!J176)</f>
        <v>146.20000000000002</v>
      </c>
      <c r="L178">
        <f>IF(入力!$B$2="男",成長曲線_男!K176,成長曲線_女!K176)</f>
        <v>143.55000000000001</v>
      </c>
      <c r="M178">
        <f>IF(入力!$B$2="男",成長曲線_男!L176,成長曲線_女!L176)</f>
        <v>140.9</v>
      </c>
      <c r="O178">
        <f>IF(入力!$B$2="男",成長曲線_男!N176,成長曲線_女!N176)</f>
        <v>50.7</v>
      </c>
      <c r="P178">
        <f>IF(入力!$B$2="男",成長曲線_男!O176,成長曲線_女!O176)</f>
        <v>7.95</v>
      </c>
      <c r="Q178">
        <f>IF(入力!$B$2="男",成長曲線_男!P176,成長曲線_女!P176)</f>
        <v>66.600000000000009</v>
      </c>
      <c r="R178">
        <f>IF(入力!$B$2="男",成長曲線_男!Q176,成長曲線_女!Q176)</f>
        <v>58.650000000000006</v>
      </c>
      <c r="S178">
        <f>IF(入力!$B$2="男",成長曲線_男!R176,成長曲線_女!R176)</f>
        <v>42.75</v>
      </c>
      <c r="T178">
        <f>IF(入力!$B$2="男",成長曲線_男!S176,成長曲線_女!S176)</f>
        <v>34.800000000000004</v>
      </c>
      <c r="AE178">
        <f>IF($D178*12&lt;150,IF($D178*12&lt;IF(入力!$B$2="男",78,69),2,3),4)+IF(入力!$B$2="男",0,4)</f>
        <v>8</v>
      </c>
      <c r="AF178">
        <f t="shared" si="18"/>
        <v>-1.3583102483200022</v>
      </c>
      <c r="AG178">
        <f>IF($D178*12&lt;90,IF($D178*12&lt;26.75,IF($D178*12&lt;9.5,IF($D178*12&lt;2.5,2,3),4),5),6)+IF(入力!$B$2="男",0,6)+IF(AND(入力!$B$2&lt;&gt;"男",$D178*12&gt;=150),1,0)</f>
        <v>13</v>
      </c>
      <c r="AH178">
        <f t="shared" si="19"/>
        <v>20.249172706400003</v>
      </c>
      <c r="AI178">
        <f>IF(($D178*12)&lt;90,2,3)+IF(入力!$B$2="男",0,3)</f>
        <v>6</v>
      </c>
      <c r="AJ178">
        <f t="shared" si="20"/>
        <v>0.13518427459439991</v>
      </c>
      <c r="AK178">
        <f t="shared" si="17"/>
        <v>16.276323766724804</v>
      </c>
      <c r="AL178">
        <f t="shared" si="22"/>
        <v>17.331577354649813</v>
      </c>
      <c r="AM178">
        <f t="shared" si="22"/>
        <v>18.581252490413135</v>
      </c>
      <c r="AN178">
        <f t="shared" si="22"/>
        <v>20.249172706400003</v>
      </c>
      <c r="AO178">
        <f t="shared" si="22"/>
        <v>22.319373163026388</v>
      </c>
      <c r="AP178">
        <f t="shared" si="22"/>
        <v>24.671245704294357</v>
      </c>
      <c r="AQ178">
        <f t="shared" si="22"/>
        <v>27.660855647277291</v>
      </c>
    </row>
    <row r="179" spans="1:43" x14ac:dyDescent="0.15">
      <c r="A179">
        <f t="shared" si="23"/>
        <v>14</v>
      </c>
      <c r="B179" s="2">
        <v>7</v>
      </c>
      <c r="D179" s="3">
        <f t="shared" si="21"/>
        <v>14.583333333333334</v>
      </c>
      <c r="F179">
        <f>IF(入力!$B$2="男",成長曲線_男!E177,成長曲線_女!E177)</f>
        <v>156.80000000000001</v>
      </c>
      <c r="G179">
        <f>IF(入力!$B$2="男",成長曲線_男!F177,成長曲線_女!F177)</f>
        <v>5.3</v>
      </c>
      <c r="H179">
        <f>IF(入力!$B$2="男",成長曲線_男!G177,成長曲線_女!G177)</f>
        <v>167.4</v>
      </c>
      <c r="I179">
        <f>IF(入力!$B$2="男",成長曲線_男!H177,成長曲線_女!H177)</f>
        <v>162.10000000000002</v>
      </c>
      <c r="J179">
        <f>IF(入力!$B$2="男",成長曲線_男!I177,成長曲線_女!I177)</f>
        <v>151.5</v>
      </c>
      <c r="K179">
        <f>IF(入力!$B$2="男",成長曲線_男!J177,成長曲線_女!J177)</f>
        <v>146.20000000000002</v>
      </c>
      <c r="L179">
        <f>IF(入力!$B$2="男",成長曲線_男!K177,成長曲線_女!K177)</f>
        <v>143.55000000000001</v>
      </c>
      <c r="M179">
        <f>IF(入力!$B$2="男",成長曲線_男!L177,成長曲線_女!L177)</f>
        <v>140.9</v>
      </c>
      <c r="O179">
        <f>IF(入力!$B$2="男",成長曲線_男!N177,成長曲線_女!N177)</f>
        <v>50.8</v>
      </c>
      <c r="P179">
        <f>IF(入力!$B$2="男",成長曲線_男!O177,成長曲線_女!O177)</f>
        <v>7.98</v>
      </c>
      <c r="Q179">
        <f>IF(入力!$B$2="男",成長曲線_男!P177,成長曲線_女!P177)</f>
        <v>66.759999999999991</v>
      </c>
      <c r="R179">
        <f>IF(入力!$B$2="男",成長曲線_男!Q177,成長曲線_女!Q177)</f>
        <v>58.78</v>
      </c>
      <c r="S179">
        <f>IF(入力!$B$2="男",成長曲線_男!R177,成長曲線_女!R177)</f>
        <v>42.819999999999993</v>
      </c>
      <c r="T179">
        <f>IF(入力!$B$2="男",成長曲線_男!S177,成長曲線_女!S177)</f>
        <v>34.839999999999996</v>
      </c>
      <c r="AE179">
        <f>IF($D179*12&lt;150,IF($D179*12&lt;IF(入力!$B$2="男",78,69),2,3),4)+IF(入力!$B$2="男",0,4)</f>
        <v>8</v>
      </c>
      <c r="AF179">
        <f t="shared" si="18"/>
        <v>-1.3655213649999993</v>
      </c>
      <c r="AG179">
        <f>IF($D179*12&lt;90,IF($D179*12&lt;26.75,IF($D179*12&lt;9.5,IF($D179*12&lt;2.5,2,3),4),5),6)+IF(入力!$B$2="男",0,6)+IF(AND(入力!$B$2&lt;&gt;"男",$D179*12&gt;=150),1,0)</f>
        <v>13</v>
      </c>
      <c r="AH179">
        <f t="shared" si="19"/>
        <v>20.294341351500002</v>
      </c>
      <c r="AI179">
        <f>IF(($D179*12)&lt;90,2,3)+IF(入力!$B$2="男",0,3)</f>
        <v>6</v>
      </c>
      <c r="AJ179">
        <f t="shared" si="20"/>
        <v>0.13494133756249993</v>
      </c>
      <c r="AK179">
        <f t="shared" si="17"/>
        <v>16.320711430787306</v>
      </c>
      <c r="AL179">
        <f t="shared" si="22"/>
        <v>17.376026656359468</v>
      </c>
      <c r="AM179">
        <f t="shared" si="22"/>
        <v>18.625891971736287</v>
      </c>
      <c r="AN179">
        <f t="shared" si="22"/>
        <v>20.294341351500002</v>
      </c>
      <c r="AO179">
        <f t="shared" si="22"/>
        <v>22.365773255591439</v>
      </c>
      <c r="AP179">
        <f t="shared" si="22"/>
        <v>24.720013845473062</v>
      </c>
      <c r="AQ179">
        <f t="shared" si="22"/>
        <v>27.714440384596049</v>
      </c>
    </row>
    <row r="180" spans="1:43" x14ac:dyDescent="0.15">
      <c r="A180">
        <f t="shared" si="23"/>
        <v>14</v>
      </c>
      <c r="B180" s="2">
        <v>8</v>
      </c>
      <c r="D180" s="3">
        <f t="shared" si="21"/>
        <v>14.666666666666666</v>
      </c>
      <c r="F180">
        <f>IF(入力!$B$2="男",成長曲線_男!E178,成長曲線_女!E178)</f>
        <v>156.9</v>
      </c>
      <c r="G180">
        <f>IF(入力!$B$2="男",成長曲線_男!F178,成長曲線_女!F178)</f>
        <v>5.3</v>
      </c>
      <c r="H180">
        <f>IF(入力!$B$2="男",成長曲線_男!G178,成長曲線_女!G178)</f>
        <v>167.5</v>
      </c>
      <c r="I180">
        <f>IF(入力!$B$2="男",成長曲線_男!H178,成長曲線_女!H178)</f>
        <v>162.20000000000002</v>
      </c>
      <c r="J180">
        <f>IF(入力!$B$2="男",成長曲線_男!I178,成長曲線_女!I178)</f>
        <v>151.6</v>
      </c>
      <c r="K180">
        <f>IF(入力!$B$2="男",成長曲線_男!J178,成長曲線_女!J178)</f>
        <v>146.30000000000001</v>
      </c>
      <c r="L180">
        <f>IF(入力!$B$2="男",成長曲線_男!K178,成長曲線_女!K178)</f>
        <v>143.65</v>
      </c>
      <c r="M180">
        <f>IF(入力!$B$2="男",成長曲線_男!L178,成長曲線_女!L178)</f>
        <v>141</v>
      </c>
      <c r="O180">
        <f>IF(入力!$B$2="男",成長曲線_男!N178,成長曲線_女!N178)</f>
        <v>50.9</v>
      </c>
      <c r="P180">
        <f>IF(入力!$B$2="男",成長曲線_男!O178,成長曲線_女!O178)</f>
        <v>8</v>
      </c>
      <c r="Q180">
        <f>IF(入力!$B$2="男",成長曲線_男!P178,成長曲線_女!P178)</f>
        <v>66.900000000000006</v>
      </c>
      <c r="R180">
        <f>IF(入力!$B$2="男",成長曲線_男!Q178,成長曲線_女!Q178)</f>
        <v>58.9</v>
      </c>
      <c r="S180">
        <f>IF(入力!$B$2="男",成長曲線_男!R178,成長曲線_女!R178)</f>
        <v>42.9</v>
      </c>
      <c r="T180">
        <f>IF(入力!$B$2="男",成長曲線_男!S178,成長曲線_女!S178)</f>
        <v>34.9</v>
      </c>
      <c r="AE180">
        <f>IF($D180*12&lt;150,IF($D180*12&lt;IF(入力!$B$2="男",78,69),2,3),4)+IF(入力!$B$2="男",0,4)</f>
        <v>8</v>
      </c>
      <c r="AF180">
        <f t="shared" si="18"/>
        <v>-1.3729775276799927</v>
      </c>
      <c r="AG180">
        <f>IF($D180*12&lt;90,IF($D180*12&lt;26.75,IF($D180*12&lt;9.5,IF($D180*12&lt;2.5,2,3),4),5),6)+IF(入力!$B$2="男",0,6)+IF(AND(入力!$B$2&lt;&gt;"男",$D180*12&gt;=150),1,0)</f>
        <v>13</v>
      </c>
      <c r="AH180">
        <f t="shared" si="19"/>
        <v>20.3381634116</v>
      </c>
      <c r="AI180">
        <f>IF(($D180*12)&lt;90,2,3)+IF(入力!$B$2="男",0,3)</f>
        <v>6</v>
      </c>
      <c r="AJ180">
        <f t="shared" si="20"/>
        <v>0.13469183838559984</v>
      </c>
      <c r="AK180">
        <f t="shared" si="17"/>
        <v>16.364274225478905</v>
      </c>
      <c r="AL180">
        <f t="shared" si="22"/>
        <v>17.419507252242123</v>
      </c>
      <c r="AM180">
        <f t="shared" si="22"/>
        <v>18.669396704460969</v>
      </c>
      <c r="AN180">
        <f t="shared" si="22"/>
        <v>20.3381634116</v>
      </c>
      <c r="AO180">
        <f t="shared" si="22"/>
        <v>22.410584272701769</v>
      </c>
      <c r="AP180">
        <f t="shared" si="22"/>
        <v>24.766952820685685</v>
      </c>
      <c r="AQ180">
        <f t="shared" si="22"/>
        <v>27.765960079725303</v>
      </c>
    </row>
    <row r="181" spans="1:43" x14ac:dyDescent="0.15">
      <c r="A181">
        <f t="shared" si="23"/>
        <v>14</v>
      </c>
      <c r="B181" s="2">
        <v>9</v>
      </c>
      <c r="D181" s="3">
        <f t="shared" si="21"/>
        <v>14.75</v>
      </c>
      <c r="F181">
        <f>IF(入力!$B$2="男",成長曲線_男!E179,成長曲線_女!E179)</f>
        <v>156.9</v>
      </c>
      <c r="G181">
        <f>IF(入力!$B$2="男",成長曲線_男!F179,成長曲線_女!F179)</f>
        <v>5.3</v>
      </c>
      <c r="H181">
        <f>IF(入力!$B$2="男",成長曲線_男!G179,成長曲線_女!G179)</f>
        <v>167.5</v>
      </c>
      <c r="I181">
        <f>IF(入力!$B$2="男",成長曲線_男!H179,成長曲線_女!H179)</f>
        <v>162.20000000000002</v>
      </c>
      <c r="J181">
        <f>IF(入力!$B$2="男",成長曲線_男!I179,成長曲線_女!I179)</f>
        <v>151.6</v>
      </c>
      <c r="K181">
        <f>IF(入力!$B$2="男",成長曲線_男!J179,成長曲線_女!J179)</f>
        <v>146.30000000000001</v>
      </c>
      <c r="L181">
        <f>IF(入力!$B$2="男",成長曲線_男!K179,成長曲線_女!K179)</f>
        <v>143.65</v>
      </c>
      <c r="M181">
        <f>IF(入力!$B$2="男",成長曲線_男!L179,成長曲線_女!L179)</f>
        <v>141</v>
      </c>
      <c r="O181">
        <f>IF(入力!$B$2="男",成長曲線_男!N179,成長曲線_女!N179)</f>
        <v>51.1</v>
      </c>
      <c r="P181">
        <f>IF(入力!$B$2="男",成長曲線_男!O179,成長曲線_女!O179)</f>
        <v>8.0299999999999994</v>
      </c>
      <c r="Q181">
        <f>IF(入力!$B$2="男",成長曲線_男!P179,成長曲線_女!P179)</f>
        <v>67.16</v>
      </c>
      <c r="R181">
        <f>IF(入力!$B$2="男",成長曲線_男!Q179,成長曲線_女!Q179)</f>
        <v>59.13</v>
      </c>
      <c r="S181">
        <f>IF(入力!$B$2="男",成長曲線_男!R179,成長曲線_女!R179)</f>
        <v>43.07</v>
      </c>
      <c r="T181">
        <f>IF(入力!$B$2="男",成長曲線_男!S179,成長曲線_女!S179)</f>
        <v>35.040000000000006</v>
      </c>
      <c r="AE181">
        <f>IF($D181*12&lt;150,IF($D181*12&lt;IF(入力!$B$2="男",78,69),2,3),4)+IF(入力!$B$2="男",0,4)</f>
        <v>8</v>
      </c>
      <c r="AF181">
        <f t="shared" si="18"/>
        <v>-1.3806462504400159</v>
      </c>
      <c r="AG181">
        <f>IF($D181*12&lt;90,IF($D181*12&lt;26.75,IF($D181*12&lt;9.5,IF($D181*12&lt;2.5,2,3),4),5),6)+IF(入力!$B$2="男",0,6)+IF(AND(入力!$B$2&lt;&gt;"男",$D181*12&gt;=150),1,0)</f>
        <v>13</v>
      </c>
      <c r="AH181">
        <f t="shared" si="19"/>
        <v>20.380623845300001</v>
      </c>
      <c r="AI181">
        <f>IF(($D181*12)&lt;90,2,3)+IF(入力!$B$2="男",0,3)</f>
        <v>6</v>
      </c>
      <c r="AJ181">
        <f t="shared" si="20"/>
        <v>0.13443590356229984</v>
      </c>
      <c r="AK181">
        <f t="shared" si="17"/>
        <v>16.406984301196218</v>
      </c>
      <c r="AL181">
        <f t="shared" si="22"/>
        <v>17.461996794225712</v>
      </c>
      <c r="AM181">
        <f t="shared" si="22"/>
        <v>18.71174900325164</v>
      </c>
      <c r="AN181">
        <f t="shared" si="22"/>
        <v>20.380623845300001</v>
      </c>
      <c r="AO181">
        <f t="shared" si="22"/>
        <v>22.453787992232414</v>
      </c>
      <c r="AP181">
        <f t="shared" ref="AL181:AQ214" si="24">$AH181*(1+$AF181*$AJ181*AP$3)^(1/$AF181)</f>
        <v>24.812031062485296</v>
      </c>
      <c r="AQ181">
        <f t="shared" si="24"/>
        <v>27.81534973105807</v>
      </c>
    </row>
    <row r="182" spans="1:43" x14ac:dyDescent="0.15">
      <c r="A182">
        <f t="shared" si="23"/>
        <v>14</v>
      </c>
      <c r="B182" s="2">
        <v>10</v>
      </c>
      <c r="D182" s="3">
        <f t="shared" si="21"/>
        <v>14.833333333333334</v>
      </c>
      <c r="F182">
        <f>IF(入力!$B$2="男",成長曲線_男!E180,成長曲線_女!E180)</f>
        <v>157</v>
      </c>
      <c r="G182">
        <f>IF(入力!$B$2="男",成長曲線_男!F180,成長曲線_女!F180)</f>
        <v>5.3</v>
      </c>
      <c r="H182">
        <f>IF(入力!$B$2="男",成長曲線_男!G180,成長曲線_女!G180)</f>
        <v>167.6</v>
      </c>
      <c r="I182">
        <f>IF(入力!$B$2="男",成長曲線_男!H180,成長曲線_女!H180)</f>
        <v>162.30000000000001</v>
      </c>
      <c r="J182">
        <f>IF(入力!$B$2="男",成長曲線_男!I180,成長曲線_女!I180)</f>
        <v>151.69999999999999</v>
      </c>
      <c r="K182">
        <f>IF(入力!$B$2="男",成長曲線_男!J180,成長曲線_女!J180)</f>
        <v>146.4</v>
      </c>
      <c r="L182">
        <f>IF(入力!$B$2="男",成長曲線_男!K180,成長曲線_女!K180)</f>
        <v>143.75</v>
      </c>
      <c r="M182">
        <f>IF(入力!$B$2="男",成長曲線_男!L180,成長曲線_女!L180)</f>
        <v>141.1</v>
      </c>
      <c r="O182">
        <f>IF(入力!$B$2="男",成長曲線_男!N180,成長曲線_女!N180)</f>
        <v>51.2</v>
      </c>
      <c r="P182">
        <f>IF(入力!$B$2="男",成長曲線_男!O180,成長曲線_女!O180)</f>
        <v>8.0500000000000007</v>
      </c>
      <c r="Q182">
        <f>IF(入力!$B$2="男",成長曲線_男!P180,成長曲線_女!P180)</f>
        <v>67.300000000000011</v>
      </c>
      <c r="R182">
        <f>IF(入力!$B$2="男",成長曲線_男!Q180,成長曲線_女!Q180)</f>
        <v>59.25</v>
      </c>
      <c r="S182">
        <f>IF(入力!$B$2="男",成長曲線_男!R180,成長曲線_女!R180)</f>
        <v>43.150000000000006</v>
      </c>
      <c r="T182">
        <f>IF(入力!$B$2="男",成長曲線_男!S180,成長曲線_女!S180)</f>
        <v>35.1</v>
      </c>
      <c r="AE182">
        <f>IF($D182*12&lt;150,IF($D182*12&lt;IF(入力!$B$2="男",78,69),2,3),4)+IF(入力!$B$2="男",0,4)</f>
        <v>8</v>
      </c>
      <c r="AF182">
        <f t="shared" si="18"/>
        <v>-1.3884950473600028</v>
      </c>
      <c r="AG182">
        <f>IF($D182*12&lt;90,IF($D182*12&lt;26.75,IF($D182*12&lt;9.5,IF($D182*12&lt;2.5,2,3),4),5),6)+IF(入力!$B$2="男",0,6)+IF(AND(入力!$B$2&lt;&gt;"男",$D182*12&gt;=150),1,0)</f>
        <v>13</v>
      </c>
      <c r="AH182">
        <f t="shared" si="19"/>
        <v>20.421707611200002</v>
      </c>
      <c r="AI182">
        <f>IF(($D182*12)&lt;90,2,3)+IF(入力!$B$2="男",0,3)</f>
        <v>6</v>
      </c>
      <c r="AJ182">
        <f t="shared" si="20"/>
        <v>0.13417365959119987</v>
      </c>
      <c r="AK182">
        <f t="shared" si="17"/>
        <v>16.448813760714003</v>
      </c>
      <c r="AL182">
        <f t="shared" si="24"/>
        <v>17.503472879955268</v>
      </c>
      <c r="AM182">
        <f t="shared" si="24"/>
        <v>18.752931139991613</v>
      </c>
      <c r="AN182">
        <f t="shared" si="24"/>
        <v>20.421707611200002</v>
      </c>
      <c r="AO182">
        <f t="shared" si="24"/>
        <v>22.495366266626355</v>
      </c>
      <c r="AP182">
        <f t="shared" si="24"/>
        <v>24.855217134183913</v>
      </c>
      <c r="AQ182">
        <f t="shared" si="24"/>
        <v>27.862544344605315</v>
      </c>
    </row>
    <row r="183" spans="1:43" x14ac:dyDescent="0.15">
      <c r="A183">
        <f t="shared" si="23"/>
        <v>14</v>
      </c>
      <c r="B183" s="2">
        <v>11</v>
      </c>
      <c r="D183" s="3">
        <f t="shared" si="21"/>
        <v>14.916666666666666</v>
      </c>
      <c r="F183">
        <f>IF(入力!$B$2="男",成長曲線_男!E181,成長曲線_女!E181)</f>
        <v>157</v>
      </c>
      <c r="G183">
        <f>IF(入力!$B$2="男",成長曲線_男!F181,成長曲線_女!F181)</f>
        <v>5.3</v>
      </c>
      <c r="H183">
        <f>IF(入力!$B$2="男",成長曲線_男!G181,成長曲線_女!G181)</f>
        <v>167.6</v>
      </c>
      <c r="I183">
        <f>IF(入力!$B$2="男",成長曲線_男!H181,成長曲線_女!H181)</f>
        <v>162.30000000000001</v>
      </c>
      <c r="J183">
        <f>IF(入力!$B$2="男",成長曲線_男!I181,成長曲線_女!I181)</f>
        <v>151.69999999999999</v>
      </c>
      <c r="K183">
        <f>IF(入力!$B$2="男",成長曲線_男!J181,成長曲線_女!J181)</f>
        <v>146.4</v>
      </c>
      <c r="L183">
        <f>IF(入力!$B$2="男",成長曲線_男!K181,成長曲線_女!K181)</f>
        <v>143.75</v>
      </c>
      <c r="M183">
        <f>IF(入力!$B$2="男",成長曲線_男!L181,成長曲線_女!L181)</f>
        <v>141.1</v>
      </c>
      <c r="O183">
        <f>IF(入力!$B$2="男",成長曲線_男!N181,成長曲線_女!N181)</f>
        <v>51.3</v>
      </c>
      <c r="P183">
        <f>IF(入力!$B$2="男",成長曲線_男!O181,成長曲線_女!O181)</f>
        <v>8.08</v>
      </c>
      <c r="Q183">
        <f>IF(入力!$B$2="男",成長曲線_男!P181,成長曲線_女!P181)</f>
        <v>67.459999999999994</v>
      </c>
      <c r="R183">
        <f>IF(入力!$B$2="男",成長曲線_男!Q181,成長曲線_女!Q181)</f>
        <v>59.379999999999995</v>
      </c>
      <c r="S183">
        <f>IF(入力!$B$2="男",成長曲線_男!R181,成長曲線_女!R181)</f>
        <v>43.22</v>
      </c>
      <c r="T183">
        <f>IF(入力!$B$2="男",成長曲線_男!S181,成長曲線_女!S181)</f>
        <v>35.14</v>
      </c>
      <c r="AE183">
        <f>IF($D183*12&lt;150,IF($D183*12&lt;IF(入力!$B$2="男",78,69),2,3),4)+IF(入力!$B$2="男",0,4)</f>
        <v>8</v>
      </c>
      <c r="AF183">
        <f t="shared" si="18"/>
        <v>-1.3964914325200013</v>
      </c>
      <c r="AG183">
        <f>IF($D183*12&lt;90,IF($D183*12&lt;26.75,IF($D183*12&lt;9.5,IF($D183*12&lt;2.5,2,3),4),5),6)+IF(入力!$B$2="男",0,6)+IF(AND(入力!$B$2&lt;&gt;"男",$D183*12&gt;=150),1,0)</f>
        <v>13</v>
      </c>
      <c r="AH183">
        <f t="shared" si="19"/>
        <v>20.461399667900004</v>
      </c>
      <c r="AI183">
        <f>IF(($D183*12)&lt;90,2,3)+IF(入力!$B$2="男",0,3)</f>
        <v>6</v>
      </c>
      <c r="AJ183">
        <f t="shared" si="20"/>
        <v>0.13390523297089985</v>
      </c>
      <c r="AK183">
        <f t="shared" ref="AK183:AK214" si="25">$AH183*(1+$AF183*$AJ183*AK$3)^(1/$AF183)</f>
        <v>16.489734681699925</v>
      </c>
      <c r="AL183">
        <f t="shared" si="24"/>
        <v>17.543913065394438</v>
      </c>
      <c r="AM183">
        <f t="shared" si="24"/>
        <v>18.792925348170336</v>
      </c>
      <c r="AN183">
        <f t="shared" si="24"/>
        <v>20.461399667900004</v>
      </c>
      <c r="AO183">
        <f t="shared" si="24"/>
        <v>22.53530102837307</v>
      </c>
      <c r="AP183">
        <f t="shared" si="24"/>
        <v>24.896479755272345</v>
      </c>
      <c r="AQ183">
        <f t="shared" si="24"/>
        <v>27.90747899937864</v>
      </c>
    </row>
    <row r="184" spans="1:43" x14ac:dyDescent="0.15">
      <c r="A184">
        <f t="shared" si="23"/>
        <v>15</v>
      </c>
      <c r="B184" s="2">
        <v>0</v>
      </c>
      <c r="D184" s="3">
        <f t="shared" si="21"/>
        <v>15</v>
      </c>
      <c r="F184">
        <f>IF(入力!$B$2="男",成長曲線_男!E182,成長曲線_女!E182)</f>
        <v>157.1</v>
      </c>
      <c r="G184">
        <f>IF(入力!$B$2="男",成長曲線_男!F182,成長曲線_女!F182)</f>
        <v>5.3</v>
      </c>
      <c r="H184">
        <f>IF(入力!$B$2="男",成長曲線_男!G182,成長曲線_女!G182)</f>
        <v>167.7</v>
      </c>
      <c r="I184">
        <f>IF(入力!$B$2="男",成長曲線_男!H182,成長曲線_女!H182)</f>
        <v>162.4</v>
      </c>
      <c r="J184">
        <f>IF(入力!$B$2="男",成長曲線_男!I182,成長曲線_女!I182)</f>
        <v>151.79999999999998</v>
      </c>
      <c r="K184">
        <f>IF(入力!$B$2="男",成長曲線_男!J182,成長曲線_女!J182)</f>
        <v>146.5</v>
      </c>
      <c r="L184">
        <f>IF(入力!$B$2="男",成長曲線_男!K182,成長曲線_女!K182)</f>
        <v>143.85</v>
      </c>
      <c r="M184">
        <f>IF(入力!$B$2="男",成長曲線_男!L182,成長曲線_女!L182)</f>
        <v>141.19999999999999</v>
      </c>
      <c r="O184">
        <f>IF(入力!$B$2="男",成長曲線_男!N182,成長曲線_女!N182)</f>
        <v>51.4</v>
      </c>
      <c r="P184">
        <f>IF(入力!$B$2="男",成長曲線_男!O182,成長曲線_女!O182)</f>
        <v>8.11</v>
      </c>
      <c r="Q184">
        <f>IF(入力!$B$2="男",成長曲線_男!P182,成長曲線_女!P182)</f>
        <v>67.62</v>
      </c>
      <c r="R184">
        <f>IF(入力!$B$2="男",成長曲線_男!Q182,成長曲線_女!Q182)</f>
        <v>59.51</v>
      </c>
      <c r="S184">
        <f>IF(入力!$B$2="男",成長曲線_男!R182,成長曲線_女!R182)</f>
        <v>43.29</v>
      </c>
      <c r="T184">
        <f>IF(入力!$B$2="男",成長曲線_男!S182,成長曲線_女!S182)</f>
        <v>35.18</v>
      </c>
      <c r="AE184">
        <f>IF($D184*12&lt;150,IF($D184*12&lt;IF(入力!$B$2="男",78,69),2,3),4)+IF(入力!$B$2="男",0,4)</f>
        <v>8</v>
      </c>
      <c r="AF184">
        <f t="shared" si="18"/>
        <v>-1.404602919999995</v>
      </c>
      <c r="AG184">
        <f>IF($D184*12&lt;90,IF($D184*12&lt;26.75,IF($D184*12&lt;9.5,IF($D184*12&lt;2.5,2,3),4),5),6)+IF(入力!$B$2="男",0,6)+IF(AND(入力!$B$2&lt;&gt;"男",$D184*12&gt;=150),1,0)</f>
        <v>13</v>
      </c>
      <c r="AH184">
        <f t="shared" si="19"/>
        <v>20.499684974000004</v>
      </c>
      <c r="AI184">
        <f>IF(($D184*12)&lt;90,2,3)+IF(入力!$B$2="男",0,3)</f>
        <v>6</v>
      </c>
      <c r="AJ184">
        <f t="shared" si="20"/>
        <v>0.13363075019999987</v>
      </c>
      <c r="AK184">
        <f t="shared" si="25"/>
        <v>16.529719137885234</v>
      </c>
      <c r="AL184">
        <f t="shared" si="24"/>
        <v>17.583294876820194</v>
      </c>
      <c r="AM184">
        <f t="shared" si="24"/>
        <v>18.831713827132042</v>
      </c>
      <c r="AN184">
        <f t="shared" si="24"/>
        <v>20.499684974000004</v>
      </c>
      <c r="AO184">
        <f t="shared" si="24"/>
        <v>22.573574295513339</v>
      </c>
      <c r="AP184">
        <f t="shared" si="24"/>
        <v>24.935787828134799</v>
      </c>
      <c r="AQ184">
        <f t="shared" si="24"/>
        <v>27.950088921022175</v>
      </c>
    </row>
    <row r="185" spans="1:43" x14ac:dyDescent="0.15">
      <c r="A185">
        <f t="shared" si="23"/>
        <v>15</v>
      </c>
      <c r="B185" s="2">
        <v>1</v>
      </c>
      <c r="D185" s="3">
        <f t="shared" si="21"/>
        <v>15.083333333333334</v>
      </c>
      <c r="F185">
        <f>IF(入力!$B$2="男",成長曲線_男!E183,成長曲線_女!E183)</f>
        <v>157.1</v>
      </c>
      <c r="G185">
        <f>IF(入力!$B$2="男",成長曲線_男!F183,成長曲線_女!F183)</f>
        <v>5.3</v>
      </c>
      <c r="H185">
        <f>IF(入力!$B$2="男",成長曲線_男!G183,成長曲線_女!G183)</f>
        <v>167.7</v>
      </c>
      <c r="I185">
        <f>IF(入力!$B$2="男",成長曲線_男!H183,成長曲線_女!H183)</f>
        <v>162.4</v>
      </c>
      <c r="J185">
        <f>IF(入力!$B$2="男",成長曲線_男!I183,成長曲線_女!I183)</f>
        <v>151.79999999999998</v>
      </c>
      <c r="K185">
        <f>IF(入力!$B$2="男",成長曲線_男!J183,成長曲線_女!J183)</f>
        <v>146.5</v>
      </c>
      <c r="L185">
        <f>IF(入力!$B$2="男",成長曲線_男!K183,成長曲線_女!K183)</f>
        <v>143.85</v>
      </c>
      <c r="M185">
        <f>IF(入力!$B$2="男",成長曲線_男!L183,成長曲線_女!L183)</f>
        <v>141.19999999999999</v>
      </c>
      <c r="O185">
        <f>IF(入力!$B$2="男",成長曲線_男!N183,成長曲線_女!N183)</f>
        <v>51.5</v>
      </c>
      <c r="P185">
        <f>IF(入力!$B$2="男",成長曲線_男!O183,成長曲線_女!O183)</f>
        <v>8.1300000000000008</v>
      </c>
      <c r="Q185">
        <f>IF(入力!$B$2="男",成長曲線_男!P183,成長曲線_女!P183)</f>
        <v>67.760000000000005</v>
      </c>
      <c r="R185">
        <f>IF(入力!$B$2="男",成長曲線_男!Q183,成長曲線_女!Q183)</f>
        <v>59.63</v>
      </c>
      <c r="S185">
        <f>IF(入力!$B$2="男",成長曲線_男!R183,成長曲線_女!R183)</f>
        <v>43.37</v>
      </c>
      <c r="T185">
        <f>IF(入力!$B$2="男",成長曲線_男!S183,成長曲線_女!S183)</f>
        <v>35.239999999999995</v>
      </c>
      <c r="AE185">
        <f>IF($D185*12&lt;150,IF($D185*12&lt;IF(入力!$B$2="男",78,69),2,3),4)+IF(入力!$B$2="男",0,4)</f>
        <v>8</v>
      </c>
      <c r="AF185">
        <f t="shared" si="18"/>
        <v>-1.4127970238799961</v>
      </c>
      <c r="AG185">
        <f>IF($D185*12&lt;90,IF($D185*12&lt;26.75,IF($D185*12&lt;9.5,IF($D185*12&lt;2.5,2,3),4),5),6)+IF(入力!$B$2="男",0,6)+IF(AND(入力!$B$2&lt;&gt;"男",$D185*12&gt;=150),1,0)</f>
        <v>13</v>
      </c>
      <c r="AH185">
        <f t="shared" si="19"/>
        <v>20.536548488100003</v>
      </c>
      <c r="AI185">
        <f>IF(($D185*12)&lt;90,2,3)+IF(入力!$B$2="男",0,3)</f>
        <v>6</v>
      </c>
      <c r="AJ185">
        <f t="shared" si="20"/>
        <v>0.13335033777709993</v>
      </c>
      <c r="AK185">
        <f t="shared" si="25"/>
        <v>16.568739218895459</v>
      </c>
      <c r="AL185">
        <f t="shared" si="24"/>
        <v>17.621595822207912</v>
      </c>
      <c r="AM185">
        <f t="shared" si="24"/>
        <v>18.869278746182943</v>
      </c>
      <c r="AN185">
        <f t="shared" si="24"/>
        <v>20.536548488100003</v>
      </c>
      <c r="AO185">
        <f t="shared" si="24"/>
        <v>22.610168177159125</v>
      </c>
      <c r="AP185">
        <f t="shared" si="24"/>
        <v>24.973110466004037</v>
      </c>
      <c r="AQ185">
        <f t="shared" si="24"/>
        <v>27.990309563620258</v>
      </c>
    </row>
    <row r="186" spans="1:43" x14ac:dyDescent="0.15">
      <c r="A186">
        <f t="shared" si="23"/>
        <v>15</v>
      </c>
      <c r="B186" s="2">
        <v>2</v>
      </c>
      <c r="D186" s="3">
        <f t="shared" si="21"/>
        <v>15.166666666666666</v>
      </c>
      <c r="F186">
        <f>IF(入力!$B$2="男",成長曲線_男!E184,成長曲線_女!E184)</f>
        <v>157.1</v>
      </c>
      <c r="G186">
        <f>IF(入力!$B$2="男",成長曲線_男!F184,成長曲線_女!F184)</f>
        <v>5.2</v>
      </c>
      <c r="H186">
        <f>IF(入力!$B$2="男",成長曲線_男!G184,成長曲線_女!G184)</f>
        <v>167.5</v>
      </c>
      <c r="I186">
        <f>IF(入力!$B$2="男",成長曲線_男!H184,成長曲線_女!H184)</f>
        <v>162.29999999999998</v>
      </c>
      <c r="J186">
        <f>IF(入力!$B$2="男",成長曲線_男!I184,成長曲線_女!I184)</f>
        <v>151.9</v>
      </c>
      <c r="K186">
        <f>IF(入力!$B$2="男",成長曲線_男!J184,成長曲線_女!J184)</f>
        <v>146.69999999999999</v>
      </c>
      <c r="L186">
        <f>IF(入力!$B$2="男",成長曲線_男!K184,成長曲線_女!K184)</f>
        <v>144.1</v>
      </c>
      <c r="M186">
        <f>IF(入力!$B$2="男",成長曲線_男!L184,成長曲線_女!L184)</f>
        <v>141.5</v>
      </c>
      <c r="O186">
        <f>IF(入力!$B$2="男",成長曲線_男!N184,成長曲線_女!N184)</f>
        <v>51.6</v>
      </c>
      <c r="P186">
        <f>IF(入力!$B$2="男",成長曲線_男!O184,成長曲線_女!O184)</f>
        <v>8.16</v>
      </c>
      <c r="Q186">
        <f>IF(入力!$B$2="男",成長曲線_男!P184,成長曲線_女!P184)</f>
        <v>67.92</v>
      </c>
      <c r="R186">
        <f>IF(入力!$B$2="男",成長曲線_男!Q184,成長曲線_女!Q184)</f>
        <v>59.760000000000005</v>
      </c>
      <c r="S186">
        <f>IF(入力!$B$2="男",成長曲線_男!R184,成長曲線_女!R184)</f>
        <v>43.44</v>
      </c>
      <c r="T186">
        <f>IF(入力!$B$2="男",成長曲線_男!S184,成長曲線_女!S184)</f>
        <v>35.28</v>
      </c>
      <c r="AE186">
        <f>IF($D186*12&lt;150,IF($D186*12&lt;IF(入力!$B$2="男",78,69),2,3),4)+IF(入力!$B$2="男",0,4)</f>
        <v>8</v>
      </c>
      <c r="AF186">
        <f t="shared" si="18"/>
        <v>-1.4210412582400025</v>
      </c>
      <c r="AG186">
        <f>IF($D186*12&lt;90,IF($D186*12&lt;26.75,IF($D186*12&lt;9.5,IF($D186*12&lt;2.5,2,3),4),5),6)+IF(入力!$B$2="男",0,6)+IF(AND(入力!$B$2&lt;&gt;"男",$D186*12&gt;=150),1,0)</f>
        <v>13</v>
      </c>
      <c r="AH186">
        <f t="shared" si="19"/>
        <v>20.571975168800002</v>
      </c>
      <c r="AI186">
        <f>IF(($D186*12)&lt;90,2,3)+IF(入力!$B$2="男",0,3)</f>
        <v>6</v>
      </c>
      <c r="AJ186">
        <f t="shared" si="20"/>
        <v>0.13306412220079988</v>
      </c>
      <c r="AK186">
        <f t="shared" si="25"/>
        <v>16.606767048751152</v>
      </c>
      <c r="AL186">
        <f t="shared" si="24"/>
        <v>17.658793402006573</v>
      </c>
      <c r="AM186">
        <f t="shared" si="24"/>
        <v>18.905602248554636</v>
      </c>
      <c r="AN186">
        <f t="shared" si="24"/>
        <v>20.571975168800002</v>
      </c>
      <c r="AO186">
        <f t="shared" si="24"/>
        <v>22.645064879016342</v>
      </c>
      <c r="AP186">
        <f t="shared" si="24"/>
        <v>25.008417022093759</v>
      </c>
      <c r="AQ186">
        <f t="shared" si="24"/>
        <v>28.028076699559652</v>
      </c>
    </row>
    <row r="187" spans="1:43" x14ac:dyDescent="0.15">
      <c r="A187">
        <f t="shared" si="23"/>
        <v>15</v>
      </c>
      <c r="B187" s="2">
        <v>3</v>
      </c>
      <c r="D187" s="3">
        <f t="shared" si="21"/>
        <v>15.25</v>
      </c>
      <c r="F187">
        <f>IF(入力!$B$2="男",成長曲線_男!E185,成長曲線_女!E185)</f>
        <v>157.19999999999999</v>
      </c>
      <c r="G187">
        <f>IF(入力!$B$2="男",成長曲線_男!F185,成長曲線_女!F185)</f>
        <v>5.2</v>
      </c>
      <c r="H187">
        <f>IF(入力!$B$2="男",成長曲線_男!G185,成長曲線_女!G185)</f>
        <v>167.6</v>
      </c>
      <c r="I187">
        <f>IF(入力!$B$2="男",成長曲線_男!H185,成長曲線_女!H185)</f>
        <v>162.39999999999998</v>
      </c>
      <c r="J187">
        <f>IF(入力!$B$2="男",成長曲線_男!I185,成長曲線_女!I185)</f>
        <v>152</v>
      </c>
      <c r="K187">
        <f>IF(入力!$B$2="男",成長曲線_男!J185,成長曲線_女!J185)</f>
        <v>146.79999999999998</v>
      </c>
      <c r="L187">
        <f>IF(入力!$B$2="男",成長曲線_男!K185,成長曲線_女!K185)</f>
        <v>144.19999999999999</v>
      </c>
      <c r="M187">
        <f>IF(入力!$B$2="男",成長曲線_男!L185,成長曲線_女!L185)</f>
        <v>141.6</v>
      </c>
      <c r="O187">
        <f>IF(入力!$B$2="男",成長曲線_男!N185,成長曲線_女!N185)</f>
        <v>51.8</v>
      </c>
      <c r="P187">
        <f>IF(入力!$B$2="男",成長曲線_男!O185,成長曲線_女!O185)</f>
        <v>8.18</v>
      </c>
      <c r="Q187">
        <f>IF(入力!$B$2="男",成長曲線_男!P185,成長曲線_女!P185)</f>
        <v>68.16</v>
      </c>
      <c r="R187">
        <f>IF(入力!$B$2="男",成長曲線_男!Q185,成長曲線_女!Q185)</f>
        <v>59.98</v>
      </c>
      <c r="S187">
        <f>IF(入力!$B$2="男",成長曲線_男!R185,成長曲線_女!R185)</f>
        <v>43.62</v>
      </c>
      <c r="T187">
        <f>IF(入力!$B$2="男",成長曲線_男!S185,成長曲線_女!S185)</f>
        <v>35.44</v>
      </c>
      <c r="AE187">
        <f>IF($D187*12&lt;150,IF($D187*12&lt;IF(入力!$B$2="男",78,69),2,3),4)+IF(入力!$B$2="男",0,4)</f>
        <v>8</v>
      </c>
      <c r="AF187">
        <f t="shared" si="18"/>
        <v>-1.4293031371600122</v>
      </c>
      <c r="AG187">
        <f>IF($D187*12&lt;90,IF($D187*12&lt;26.75,IF($D187*12&lt;9.5,IF($D187*12&lt;2.5,2,3),4),5),6)+IF(入力!$B$2="男",0,6)+IF(AND(入力!$B$2&lt;&gt;"男",$D187*12&gt;=150),1,0)</f>
        <v>13</v>
      </c>
      <c r="AH187">
        <f t="shared" si="19"/>
        <v>20.605949974700003</v>
      </c>
      <c r="AI187">
        <f>IF(($D187*12)&lt;90,2,3)+IF(入力!$B$2="男",0,3)</f>
        <v>6</v>
      </c>
      <c r="AJ187">
        <f t="shared" si="20"/>
        <v>0.13277222996969995</v>
      </c>
      <c r="AK187">
        <f t="shared" si="25"/>
        <v>16.643774803054647</v>
      </c>
      <c r="AL187">
        <f t="shared" si="24"/>
        <v>17.694865119306815</v>
      </c>
      <c r="AM187">
        <f t="shared" si="24"/>
        <v>18.940666455222161</v>
      </c>
      <c r="AN187">
        <f t="shared" si="24"/>
        <v>20.605949974700003</v>
      </c>
      <c r="AO187">
        <f t="shared" si="24"/>
        <v>22.678246708898183</v>
      </c>
      <c r="AP187">
        <f t="shared" si="24"/>
        <v>25.041677119835569</v>
      </c>
      <c r="AQ187">
        <f t="shared" si="24"/>
        <v>28.063326517273442</v>
      </c>
    </row>
    <row r="188" spans="1:43" x14ac:dyDescent="0.15">
      <c r="A188">
        <f t="shared" si="23"/>
        <v>15</v>
      </c>
      <c r="B188" s="2">
        <v>4</v>
      </c>
      <c r="D188" s="3">
        <f t="shared" si="21"/>
        <v>15.333333333333334</v>
      </c>
      <c r="F188">
        <f>IF(入力!$B$2="男",成長曲線_男!E186,成長曲線_女!E186)</f>
        <v>157.19999999999999</v>
      </c>
      <c r="G188">
        <f>IF(入力!$B$2="男",成長曲線_男!F186,成長曲線_女!F186)</f>
        <v>5.2</v>
      </c>
      <c r="H188">
        <f>IF(入力!$B$2="男",成長曲線_男!G186,成長曲線_女!G186)</f>
        <v>167.6</v>
      </c>
      <c r="I188">
        <f>IF(入力!$B$2="男",成長曲線_男!H186,成長曲線_女!H186)</f>
        <v>162.39999999999998</v>
      </c>
      <c r="J188">
        <f>IF(入力!$B$2="男",成長曲線_男!I186,成長曲線_女!I186)</f>
        <v>152</v>
      </c>
      <c r="K188">
        <f>IF(入力!$B$2="男",成長曲線_男!J186,成長曲線_女!J186)</f>
        <v>146.79999999999998</v>
      </c>
      <c r="L188">
        <f>IF(入力!$B$2="男",成長曲線_男!K186,成長曲線_女!K186)</f>
        <v>144.19999999999999</v>
      </c>
      <c r="M188">
        <f>IF(入力!$B$2="男",成長曲線_男!L186,成長曲線_女!L186)</f>
        <v>141.6</v>
      </c>
      <c r="O188">
        <f>IF(入力!$B$2="男",成長曲線_男!N186,成長曲線_女!N186)</f>
        <v>51.9</v>
      </c>
      <c r="P188">
        <f>IF(入力!$B$2="男",成長曲線_男!O186,成長曲線_女!O186)</f>
        <v>8.2100000000000009</v>
      </c>
      <c r="Q188">
        <f>IF(入力!$B$2="男",成長曲線_男!P186,成長曲線_女!P186)</f>
        <v>68.319999999999993</v>
      </c>
      <c r="R188">
        <f>IF(入力!$B$2="男",成長曲線_男!Q186,成長曲線_女!Q186)</f>
        <v>60.11</v>
      </c>
      <c r="S188">
        <f>IF(入力!$B$2="男",成長曲線_男!R186,成長曲線_女!R186)</f>
        <v>43.69</v>
      </c>
      <c r="T188">
        <f>IF(入力!$B$2="男",成長曲線_男!S186,成長曲線_女!S186)</f>
        <v>35.479999999999997</v>
      </c>
      <c r="AE188">
        <f>IF($D188*12&lt;150,IF($D188*12&lt;IF(入力!$B$2="男",78,69),2,3),4)+IF(入力!$B$2="男",0,4)</f>
        <v>8</v>
      </c>
      <c r="AF188">
        <f t="shared" si="18"/>
        <v>-1.437550174720009</v>
      </c>
      <c r="AG188">
        <f>IF($D188*12&lt;90,IF($D188*12&lt;26.75,IF($D188*12&lt;9.5,IF($D188*12&lt;2.5,2,3),4),5),6)+IF(入力!$B$2="男",0,6)+IF(AND(入力!$B$2&lt;&gt;"男",$D188*12&gt;=150),1,0)</f>
        <v>13</v>
      </c>
      <c r="AH188">
        <f t="shared" si="19"/>
        <v>20.638457864400003</v>
      </c>
      <c r="AI188">
        <f>IF(($D188*12)&lt;90,2,3)+IF(入力!$B$2="男",0,3)</f>
        <v>6</v>
      </c>
      <c r="AJ188">
        <f t="shared" si="20"/>
        <v>0.13247478758239994</v>
      </c>
      <c r="AK188">
        <f t="shared" si="25"/>
        <v>16.679734724883829</v>
      </c>
      <c r="AL188">
        <f t="shared" si="24"/>
        <v>17.729788489406772</v>
      </c>
      <c r="AM188">
        <f t="shared" si="24"/>
        <v>18.974453468575721</v>
      </c>
      <c r="AN188">
        <f t="shared" si="24"/>
        <v>20.638457864400003</v>
      </c>
      <c r="AO188">
        <f t="shared" si="24"/>
        <v>22.709696082215554</v>
      </c>
      <c r="AP188">
        <f t="shared" si="24"/>
        <v>25.072860684138305</v>
      </c>
      <c r="AQ188">
        <f t="shared" si="24"/>
        <v>28.095995726634129</v>
      </c>
    </row>
    <row r="189" spans="1:43" x14ac:dyDescent="0.15">
      <c r="A189">
        <f t="shared" si="23"/>
        <v>15</v>
      </c>
      <c r="B189" s="2">
        <v>5</v>
      </c>
      <c r="D189" s="3">
        <f t="shared" si="21"/>
        <v>15.416666666666666</v>
      </c>
      <c r="F189">
        <f>IF(入力!$B$2="男",成長曲線_男!E187,成長曲線_女!E187)</f>
        <v>157.30000000000001</v>
      </c>
      <c r="G189">
        <f>IF(入力!$B$2="男",成長曲線_男!F187,成長曲線_女!F187)</f>
        <v>5.2</v>
      </c>
      <c r="H189">
        <f>IF(入力!$B$2="男",成長曲線_男!G187,成長曲線_女!G187)</f>
        <v>167.70000000000002</v>
      </c>
      <c r="I189">
        <f>IF(入力!$B$2="男",成長曲線_男!H187,成長曲線_女!H187)</f>
        <v>162.5</v>
      </c>
      <c r="J189">
        <f>IF(入力!$B$2="男",成長曲線_男!I187,成長曲線_女!I187)</f>
        <v>152.10000000000002</v>
      </c>
      <c r="K189">
        <f>IF(入力!$B$2="男",成長曲線_男!J187,成長曲線_女!J187)</f>
        <v>146.9</v>
      </c>
      <c r="L189">
        <f>IF(入力!$B$2="男",成長曲線_男!K187,成長曲線_女!K187)</f>
        <v>144.30000000000001</v>
      </c>
      <c r="M189">
        <f>IF(入力!$B$2="男",成長曲線_男!L187,成長曲線_女!L187)</f>
        <v>141.70000000000002</v>
      </c>
      <c r="O189">
        <f>IF(入力!$B$2="男",成長曲線_男!N187,成長曲線_女!N187)</f>
        <v>52</v>
      </c>
      <c r="P189">
        <f>IF(入力!$B$2="男",成長曲線_男!O187,成長曲線_女!O187)</f>
        <v>8.23</v>
      </c>
      <c r="Q189">
        <f>IF(入力!$B$2="男",成長曲線_男!P187,成長曲線_女!P187)</f>
        <v>68.460000000000008</v>
      </c>
      <c r="R189">
        <f>IF(入力!$B$2="男",成長曲線_男!Q187,成長曲線_女!Q187)</f>
        <v>60.230000000000004</v>
      </c>
      <c r="S189">
        <f>IF(入力!$B$2="男",成長曲線_男!R187,成長曲線_女!R187)</f>
        <v>43.769999999999996</v>
      </c>
      <c r="T189">
        <f>IF(入力!$B$2="男",成長曲線_男!S187,成長曲線_女!S187)</f>
        <v>35.54</v>
      </c>
      <c r="AE189">
        <f>IF($D189*12&lt;150,IF($D189*12&lt;IF(入力!$B$2="男",78,69),2,3),4)+IF(入力!$B$2="男",0,4)</f>
        <v>8</v>
      </c>
      <c r="AF189">
        <f t="shared" si="18"/>
        <v>-1.4457498849999908</v>
      </c>
      <c r="AG189">
        <f>IF($D189*12&lt;90,IF($D189*12&lt;26.75,IF($D189*12&lt;9.5,IF($D189*12&lt;2.5,2,3),4),5),6)+IF(入力!$B$2="男",0,6)+IF(AND(入力!$B$2&lt;&gt;"男",$D189*12&gt;=150),1,0)</f>
        <v>13</v>
      </c>
      <c r="AH189">
        <f t="shared" si="19"/>
        <v>20.669483796500003</v>
      </c>
      <c r="AI189">
        <f>IF(($D189*12)&lt;90,2,3)+IF(入力!$B$2="男",0,3)</f>
        <v>6</v>
      </c>
      <c r="AJ189">
        <f t="shared" si="20"/>
        <v>0.13217192153749985</v>
      </c>
      <c r="AK189">
        <f t="shared" si="25"/>
        <v>16.714619139418343</v>
      </c>
      <c r="AL189">
        <f t="shared" si="24"/>
        <v>17.763541048782873</v>
      </c>
      <c r="AM189">
        <f t="shared" si="24"/>
        <v>19.006945375945698</v>
      </c>
      <c r="AN189">
        <f t="shared" si="24"/>
        <v>20.669483796500003</v>
      </c>
      <c r="AO189">
        <f t="shared" si="24"/>
        <v>22.73939552743116</v>
      </c>
      <c r="AP189">
        <f t="shared" si="24"/>
        <v>25.101937973577702</v>
      </c>
      <c r="AQ189">
        <f t="shared" si="24"/>
        <v>28.126021671700148</v>
      </c>
    </row>
    <row r="190" spans="1:43" x14ac:dyDescent="0.15">
      <c r="A190">
        <f t="shared" si="23"/>
        <v>15</v>
      </c>
      <c r="B190" s="2">
        <v>6</v>
      </c>
      <c r="D190" s="3">
        <f t="shared" si="21"/>
        <v>15.5</v>
      </c>
      <c r="F190">
        <f>IF(入力!$B$2="男",成長曲線_男!E188,成長曲線_女!E188)</f>
        <v>157.30000000000001</v>
      </c>
      <c r="G190">
        <f>IF(入力!$B$2="男",成長曲線_男!F188,成長曲線_女!F188)</f>
        <v>5.2</v>
      </c>
      <c r="H190">
        <f>IF(入力!$B$2="男",成長曲線_男!G188,成長曲線_女!G188)</f>
        <v>167.70000000000002</v>
      </c>
      <c r="I190">
        <f>IF(入力!$B$2="男",成長曲線_男!H188,成長曲線_女!H188)</f>
        <v>162.5</v>
      </c>
      <c r="J190">
        <f>IF(入力!$B$2="男",成長曲線_男!I188,成長曲線_女!I188)</f>
        <v>152.10000000000002</v>
      </c>
      <c r="K190">
        <f>IF(入力!$B$2="男",成長曲線_男!J188,成長曲線_女!J188)</f>
        <v>146.9</v>
      </c>
      <c r="L190">
        <f>IF(入力!$B$2="男",成長曲線_男!K188,成長曲線_女!K188)</f>
        <v>144.30000000000001</v>
      </c>
      <c r="M190">
        <f>IF(入力!$B$2="男",成長曲線_男!L188,成長曲線_女!L188)</f>
        <v>141.70000000000002</v>
      </c>
      <c r="O190">
        <f>IF(入力!$B$2="男",成長曲線_男!N188,成長曲線_女!N188)</f>
        <v>52.1</v>
      </c>
      <c r="P190">
        <f>IF(入力!$B$2="男",成長曲線_男!O188,成長曲線_女!O188)</f>
        <v>8.26</v>
      </c>
      <c r="Q190">
        <f>IF(入力!$B$2="男",成長曲線_男!P188,成長曲線_女!P188)</f>
        <v>68.62</v>
      </c>
      <c r="R190">
        <f>IF(入力!$B$2="男",成長曲線_男!Q188,成長曲線_女!Q188)</f>
        <v>60.36</v>
      </c>
      <c r="S190">
        <f>IF(入力!$B$2="男",成長曲線_男!R188,成長曲線_女!R188)</f>
        <v>43.84</v>
      </c>
      <c r="T190">
        <f>IF(入力!$B$2="男",成長曲線_男!S188,成長曲線_女!S188)</f>
        <v>35.58</v>
      </c>
      <c r="AE190">
        <f>IF($D190*12&lt;150,IF($D190*12&lt;IF(入力!$B$2="男",78,69),2,3),4)+IF(入力!$B$2="男",0,4)</f>
        <v>8</v>
      </c>
      <c r="AF190">
        <f t="shared" si="18"/>
        <v>-1.4538697820799982</v>
      </c>
      <c r="AG190">
        <f>IF($D190*12&lt;90,IF($D190*12&lt;26.75,IF($D190*12&lt;9.5,IF($D190*12&lt;2.5,2,3),4),5),6)+IF(入力!$B$2="男",0,6)+IF(AND(入力!$B$2&lt;&gt;"男",$D190*12&gt;=150),1,0)</f>
        <v>13</v>
      </c>
      <c r="AH190">
        <f t="shared" si="19"/>
        <v>20.699012729600003</v>
      </c>
      <c r="AI190">
        <f>IF(($D190*12)&lt;90,2,3)+IF(入力!$B$2="男",0,3)</f>
        <v>6</v>
      </c>
      <c r="AJ190">
        <f t="shared" si="20"/>
        <v>0.13186375833359987</v>
      </c>
      <c r="AK190">
        <f t="shared" si="25"/>
        <v>16.748400467327571</v>
      </c>
      <c r="AL190">
        <f t="shared" si="24"/>
        <v>17.796100363474753</v>
      </c>
      <c r="AM190">
        <f t="shared" si="24"/>
        <v>19.038124252980975</v>
      </c>
      <c r="AN190">
        <f t="shared" si="24"/>
        <v>20.699012729600003</v>
      </c>
      <c r="AO190">
        <f t="shared" si="24"/>
        <v>22.767327691462693</v>
      </c>
      <c r="AP190">
        <f t="shared" si="24"/>
        <v>25.128879613414082</v>
      </c>
      <c r="AQ190">
        <f t="shared" si="24"/>
        <v>28.153342450449795</v>
      </c>
    </row>
    <row r="191" spans="1:43" x14ac:dyDescent="0.15">
      <c r="A191">
        <f t="shared" si="23"/>
        <v>15</v>
      </c>
      <c r="B191" s="2">
        <v>7</v>
      </c>
      <c r="D191" s="3">
        <f t="shared" si="21"/>
        <v>15.583333333333334</v>
      </c>
      <c r="F191">
        <f>IF(入力!$B$2="男",成長曲線_男!E189,成長曲線_女!E189)</f>
        <v>157.30000000000001</v>
      </c>
      <c r="G191">
        <f>IF(入力!$B$2="男",成長曲線_男!F189,成長曲線_女!F189)</f>
        <v>5.2</v>
      </c>
      <c r="H191">
        <f>IF(入力!$B$2="男",成長曲線_男!G189,成長曲線_女!G189)</f>
        <v>167.70000000000002</v>
      </c>
      <c r="I191">
        <f>IF(入力!$B$2="男",成長曲線_男!H189,成長曲線_女!H189)</f>
        <v>162.5</v>
      </c>
      <c r="J191">
        <f>IF(入力!$B$2="男",成長曲線_男!I189,成長曲線_女!I189)</f>
        <v>152.10000000000002</v>
      </c>
      <c r="K191">
        <f>IF(入力!$B$2="男",成長曲線_男!J189,成長曲線_女!J189)</f>
        <v>146.9</v>
      </c>
      <c r="L191">
        <f>IF(入力!$B$2="男",成長曲線_男!K189,成長曲線_女!K189)</f>
        <v>144.30000000000001</v>
      </c>
      <c r="M191">
        <f>IF(入力!$B$2="男",成長曲線_男!L189,成長曲線_女!L189)</f>
        <v>141.70000000000002</v>
      </c>
      <c r="O191">
        <f>IF(入力!$B$2="男",成長曲線_男!N189,成長曲線_女!N189)</f>
        <v>52.2</v>
      </c>
      <c r="P191">
        <f>IF(入力!$B$2="男",成長曲線_男!O189,成長曲線_女!O189)</f>
        <v>8.2200000000000006</v>
      </c>
      <c r="Q191">
        <f>IF(入力!$B$2="男",成長曲線_男!P189,成長曲線_女!P189)</f>
        <v>68.64</v>
      </c>
      <c r="R191">
        <f>IF(入力!$B$2="男",成長曲線_男!Q189,成長曲線_女!Q189)</f>
        <v>60.42</v>
      </c>
      <c r="S191">
        <f>IF(入力!$B$2="男",成長曲線_男!R189,成長曲線_女!R189)</f>
        <v>43.980000000000004</v>
      </c>
      <c r="T191">
        <f>IF(入力!$B$2="男",成長曲線_男!S189,成長曲線_女!S189)</f>
        <v>35.760000000000005</v>
      </c>
      <c r="AE191">
        <f>IF($D191*12&lt;150,IF($D191*12&lt;IF(入力!$B$2="男",78,69),2,3),4)+IF(入力!$B$2="男",0,4)</f>
        <v>8</v>
      </c>
      <c r="AF191">
        <f t="shared" si="18"/>
        <v>-1.4618773800400007</v>
      </c>
      <c r="AG191">
        <f>IF($D191*12&lt;90,IF($D191*12&lt;26.75,IF($D191*12&lt;9.5,IF($D191*12&lt;2.5,2,3),4),5),6)+IF(入力!$B$2="男",0,6)+IF(AND(入力!$B$2&lt;&gt;"男",$D191*12&gt;=150),1,0)</f>
        <v>13</v>
      </c>
      <c r="AH191">
        <f t="shared" si="19"/>
        <v>20.727029622300002</v>
      </c>
      <c r="AI191">
        <f>IF(($D191*12)&lt;90,2,3)+IF(入力!$B$2="男",0,3)</f>
        <v>6</v>
      </c>
      <c r="AJ191">
        <f t="shared" si="20"/>
        <v>0.13155042446929988</v>
      </c>
      <c r="AK191">
        <f t="shared" si="25"/>
        <v>16.781051236952873</v>
      </c>
      <c r="AL191">
        <f t="shared" si="24"/>
        <v>17.82744403689518</v>
      </c>
      <c r="AM191">
        <f t="shared" si="24"/>
        <v>19.067972166881237</v>
      </c>
      <c r="AN191">
        <f t="shared" si="24"/>
        <v>20.727029622300002</v>
      </c>
      <c r="AO191">
        <f t="shared" si="24"/>
        <v>22.793475345020525</v>
      </c>
      <c r="AP191">
        <f t="shared" si="24"/>
        <v>25.153656629325781</v>
      </c>
      <c r="AQ191">
        <f t="shared" si="24"/>
        <v>28.177897041062625</v>
      </c>
    </row>
    <row r="192" spans="1:43" x14ac:dyDescent="0.15">
      <c r="A192">
        <f t="shared" si="23"/>
        <v>15</v>
      </c>
      <c r="B192" s="2">
        <v>8</v>
      </c>
      <c r="D192" s="3">
        <f t="shared" si="21"/>
        <v>15.666666666666666</v>
      </c>
      <c r="F192">
        <f>IF(入力!$B$2="男",成長曲線_男!E190,成長曲線_女!E190)</f>
        <v>157.4</v>
      </c>
      <c r="G192">
        <f>IF(入力!$B$2="男",成長曲線_男!F190,成長曲線_女!F190)</f>
        <v>5.2</v>
      </c>
      <c r="H192">
        <f>IF(入力!$B$2="男",成長曲線_男!G190,成長曲線_女!G190)</f>
        <v>167.8</v>
      </c>
      <c r="I192">
        <f>IF(入力!$B$2="男",成長曲線_男!H190,成長曲線_女!H190)</f>
        <v>162.6</v>
      </c>
      <c r="J192">
        <f>IF(入力!$B$2="男",成長曲線_男!I190,成長曲線_女!I190)</f>
        <v>152.20000000000002</v>
      </c>
      <c r="K192">
        <f>IF(入力!$B$2="男",成長曲線_男!J190,成長曲線_女!J190)</f>
        <v>147</v>
      </c>
      <c r="L192">
        <f>IF(入力!$B$2="男",成長曲線_男!K190,成長曲線_女!K190)</f>
        <v>144.4</v>
      </c>
      <c r="M192">
        <f>IF(入力!$B$2="男",成長曲線_男!L190,成長曲線_女!L190)</f>
        <v>141.80000000000001</v>
      </c>
      <c r="O192">
        <f>IF(入力!$B$2="男",成長曲線_男!N190,成長曲線_女!N190)</f>
        <v>52.3</v>
      </c>
      <c r="P192">
        <f>IF(入力!$B$2="男",成長曲線_男!O190,成長曲線_女!O190)</f>
        <v>8.19</v>
      </c>
      <c r="Q192">
        <f>IF(入力!$B$2="男",成長曲線_男!P190,成長曲線_女!P190)</f>
        <v>68.679999999999993</v>
      </c>
      <c r="R192">
        <f>IF(入力!$B$2="男",成長曲線_男!Q190,成長曲線_女!Q190)</f>
        <v>60.489999999999995</v>
      </c>
      <c r="S192">
        <f>IF(入力!$B$2="男",成長曲線_男!R190,成長曲線_女!R190)</f>
        <v>44.11</v>
      </c>
      <c r="T192">
        <f>IF(入力!$B$2="男",成長曲線_男!S190,成長曲線_女!S190)</f>
        <v>35.92</v>
      </c>
      <c r="AE192">
        <f>IF($D192*12&lt;150,IF($D192*12&lt;IF(入力!$B$2="男",78,69),2,3),4)+IF(入力!$B$2="男",0,4)</f>
        <v>8</v>
      </c>
      <c r="AF192">
        <f t="shared" si="18"/>
        <v>-1.4697401929600105</v>
      </c>
      <c r="AG192">
        <f>IF($D192*12&lt;90,IF($D192*12&lt;26.75,IF($D192*12&lt;9.5,IF($D192*12&lt;2.5,2,3),4),5),6)+IF(入力!$B$2="男",0,6)+IF(AND(入力!$B$2&lt;&gt;"男",$D192*12&gt;=150),1,0)</f>
        <v>13</v>
      </c>
      <c r="AH192">
        <f t="shared" si="19"/>
        <v>20.753519433200005</v>
      </c>
      <c r="AI192">
        <f>IF(($D192*12)&lt;90,2,3)+IF(入力!$B$2="男",0,3)</f>
        <v>6</v>
      </c>
      <c r="AJ192">
        <f t="shared" si="20"/>
        <v>0.13123204644319986</v>
      </c>
      <c r="AK192">
        <f t="shared" si="25"/>
        <v>16.812544095319556</v>
      </c>
      <c r="AL192">
        <f t="shared" si="24"/>
        <v>17.857549717077362</v>
      </c>
      <c r="AM192">
        <f t="shared" si="24"/>
        <v>19.096471179484361</v>
      </c>
      <c r="AN192">
        <f t="shared" si="24"/>
        <v>20.753519433200005</v>
      </c>
      <c r="AO192">
        <f t="shared" si="24"/>
        <v>22.817821387864733</v>
      </c>
      <c r="AP192">
        <f t="shared" si="24"/>
        <v>25.176240481736237</v>
      </c>
      <c r="AQ192">
        <f t="shared" si="24"/>
        <v>28.199625434231574</v>
      </c>
    </row>
    <row r="193" spans="1:43" x14ac:dyDescent="0.15">
      <c r="A193">
        <f t="shared" si="23"/>
        <v>15</v>
      </c>
      <c r="B193" s="2">
        <v>9</v>
      </c>
      <c r="D193" s="3">
        <f t="shared" si="21"/>
        <v>15.75</v>
      </c>
      <c r="F193">
        <f>IF(入力!$B$2="男",成長曲線_男!E191,成長曲線_女!E191)</f>
        <v>157.4</v>
      </c>
      <c r="G193">
        <f>IF(入力!$B$2="男",成長曲線_男!F191,成長曲線_女!F191)</f>
        <v>5.2</v>
      </c>
      <c r="H193">
        <f>IF(入力!$B$2="男",成長曲線_男!G191,成長曲線_女!G191)</f>
        <v>167.8</v>
      </c>
      <c r="I193">
        <f>IF(入力!$B$2="男",成長曲線_男!H191,成長曲線_女!H191)</f>
        <v>162.6</v>
      </c>
      <c r="J193">
        <f>IF(入力!$B$2="男",成長曲線_男!I191,成長曲線_女!I191)</f>
        <v>152.20000000000002</v>
      </c>
      <c r="K193">
        <f>IF(入力!$B$2="男",成長曲線_男!J191,成長曲線_女!J191)</f>
        <v>147</v>
      </c>
      <c r="L193">
        <f>IF(入力!$B$2="男",成長曲線_男!K191,成長曲線_女!K191)</f>
        <v>144.4</v>
      </c>
      <c r="M193">
        <f>IF(入力!$B$2="男",成長曲線_男!L191,成長曲線_女!L191)</f>
        <v>141.80000000000001</v>
      </c>
      <c r="O193">
        <f>IF(入力!$B$2="男",成長曲線_男!N191,成長曲線_女!N191)</f>
        <v>52.3</v>
      </c>
      <c r="P193">
        <f>IF(入力!$B$2="男",成長曲線_男!O191,成長曲線_女!O191)</f>
        <v>8.15</v>
      </c>
      <c r="Q193">
        <f>IF(入力!$B$2="男",成長曲線_男!P191,成長曲線_女!P191)</f>
        <v>68.599999999999994</v>
      </c>
      <c r="R193">
        <f>IF(入力!$B$2="男",成長曲線_男!Q191,成長曲線_女!Q191)</f>
        <v>60.449999999999996</v>
      </c>
      <c r="S193">
        <f>IF(入力!$B$2="男",成長曲線_男!R191,成長曲線_女!R191)</f>
        <v>44.15</v>
      </c>
      <c r="T193">
        <f>IF(入力!$B$2="男",成長曲線_男!S191,成長曲線_女!S191)</f>
        <v>36</v>
      </c>
      <c r="AE193">
        <f>IF($D193*12&lt;150,IF($D193*12&lt;IF(入力!$B$2="男",78,69),2,3),4)+IF(入力!$B$2="男",0,4)</f>
        <v>8</v>
      </c>
      <c r="AF193">
        <f t="shared" si="18"/>
        <v>-1.4774257349200113</v>
      </c>
      <c r="AG193">
        <f>IF($D193*12&lt;90,IF($D193*12&lt;26.75,IF($D193*12&lt;9.5,IF($D193*12&lt;2.5,2,3),4),5),6)+IF(入力!$B$2="男",0,6)+IF(AND(入力!$B$2&lt;&gt;"男",$D193*12&gt;=150),1,0)</f>
        <v>13</v>
      </c>
      <c r="AH193">
        <f t="shared" si="19"/>
        <v>20.778467120900004</v>
      </c>
      <c r="AI193">
        <f>IF(($D193*12)&lt;90,2,3)+IF(入力!$B$2="男",0,3)</f>
        <v>6</v>
      </c>
      <c r="AJ193">
        <f t="shared" si="20"/>
        <v>0.13090875075389985</v>
      </c>
      <c r="AK193">
        <f t="shared" si="25"/>
        <v>16.842851818015856</v>
      </c>
      <c r="AL193">
        <f t="shared" si="24"/>
        <v>17.886395103373388</v>
      </c>
      <c r="AM193">
        <f t="shared" si="24"/>
        <v>19.123603350210228</v>
      </c>
      <c r="AN193">
        <f t="shared" si="24"/>
        <v>20.778467120900004</v>
      </c>
      <c r="AO193">
        <f t="shared" si="24"/>
        <v>22.840348853965729</v>
      </c>
      <c r="AP193">
        <f t="shared" si="24"/>
        <v>25.196603100602147</v>
      </c>
      <c r="AQ193">
        <f t="shared" si="24"/>
        <v>28.218468770906952</v>
      </c>
    </row>
    <row r="194" spans="1:43" x14ac:dyDescent="0.15">
      <c r="A194">
        <f t="shared" si="23"/>
        <v>15</v>
      </c>
      <c r="B194" s="2">
        <v>10</v>
      </c>
      <c r="D194" s="3">
        <f t="shared" si="21"/>
        <v>15.833333333333334</v>
      </c>
      <c r="F194">
        <f>IF(入力!$B$2="男",成長曲線_男!E192,成長曲線_女!E192)</f>
        <v>157.4</v>
      </c>
      <c r="G194">
        <f>IF(入力!$B$2="男",成長曲線_男!F192,成長曲線_女!F192)</f>
        <v>5.2</v>
      </c>
      <c r="H194">
        <f>IF(入力!$B$2="男",成長曲線_男!G192,成長曲線_女!G192)</f>
        <v>167.8</v>
      </c>
      <c r="I194">
        <f>IF(入力!$B$2="男",成長曲線_男!H192,成長曲線_女!H192)</f>
        <v>162.6</v>
      </c>
      <c r="J194">
        <f>IF(入力!$B$2="男",成長曲線_男!I192,成長曲線_女!I192)</f>
        <v>152.20000000000002</v>
      </c>
      <c r="K194">
        <f>IF(入力!$B$2="男",成長曲線_男!J192,成長曲線_女!J192)</f>
        <v>147</v>
      </c>
      <c r="L194">
        <f>IF(入力!$B$2="男",成長曲線_男!K192,成長曲線_女!K192)</f>
        <v>144.4</v>
      </c>
      <c r="M194">
        <f>IF(入力!$B$2="男",成長曲線_男!L192,成長曲線_女!L192)</f>
        <v>141.80000000000001</v>
      </c>
      <c r="O194">
        <f>IF(入力!$B$2="男",成長曲線_男!N192,成長曲線_女!N192)</f>
        <v>52.4</v>
      </c>
      <c r="P194">
        <f>IF(入力!$B$2="男",成長曲線_男!O192,成長曲線_女!O192)</f>
        <v>8.11</v>
      </c>
      <c r="Q194">
        <f>IF(入力!$B$2="男",成長曲線_男!P192,成長曲線_女!P192)</f>
        <v>68.62</v>
      </c>
      <c r="R194">
        <f>IF(入力!$B$2="男",成長曲線_男!Q192,成長曲線_女!Q192)</f>
        <v>60.51</v>
      </c>
      <c r="S194">
        <f>IF(入力!$B$2="男",成長曲線_男!R192,成長曲線_女!R192)</f>
        <v>44.29</v>
      </c>
      <c r="T194">
        <f>IF(入力!$B$2="男",成長曲線_男!S192,成長曲線_女!S192)</f>
        <v>36.18</v>
      </c>
      <c r="AE194">
        <f>IF($D194*12&lt;150,IF($D194*12&lt;IF(入力!$B$2="男",78,69),2,3),4)+IF(入力!$B$2="男",0,4)</f>
        <v>8</v>
      </c>
      <c r="AF194">
        <f t="shared" si="18"/>
        <v>-1.4849015200000153</v>
      </c>
      <c r="AG194">
        <f>IF($D194*12&lt;90,IF($D194*12&lt;26.75,IF($D194*12&lt;9.5,IF($D194*12&lt;2.5,2,3),4),5),6)+IF(入力!$B$2="男",0,6)+IF(AND(入力!$B$2&lt;&gt;"男",$D194*12&gt;=150),1,0)</f>
        <v>13</v>
      </c>
      <c r="AH194">
        <f t="shared" si="19"/>
        <v>20.801857644000002</v>
      </c>
      <c r="AI194">
        <f>IF(($D194*12)&lt;90,2,3)+IF(入力!$B$2="男",0,3)</f>
        <v>6</v>
      </c>
      <c r="AJ194">
        <f t="shared" si="20"/>
        <v>0.13058066389999989</v>
      </c>
      <c r="AK194">
        <f t="shared" si="25"/>
        <v>16.871947317978396</v>
      </c>
      <c r="AL194">
        <f t="shared" si="24"/>
        <v>17.913957952618684</v>
      </c>
      <c r="AM194">
        <f t="shared" si="24"/>
        <v>19.14935073886306</v>
      </c>
      <c r="AN194">
        <f t="shared" si="24"/>
        <v>20.801857644000002</v>
      </c>
      <c r="AO194">
        <f t="shared" si="24"/>
        <v>22.861040916552806</v>
      </c>
      <c r="AP194">
        <f t="shared" si="24"/>
        <v>25.214716920520949</v>
      </c>
      <c r="AQ194">
        <f t="shared" si="24"/>
        <v>28.234369484792193</v>
      </c>
    </row>
    <row r="195" spans="1:43" x14ac:dyDescent="0.15">
      <c r="A195">
        <f t="shared" si="23"/>
        <v>15</v>
      </c>
      <c r="B195" s="2">
        <v>11</v>
      </c>
      <c r="D195" s="3">
        <f t="shared" si="21"/>
        <v>15.916666666666666</v>
      </c>
      <c r="F195">
        <f>IF(入力!$B$2="男",成長曲線_男!E193,成長曲線_女!E193)</f>
        <v>157.5</v>
      </c>
      <c r="G195">
        <f>IF(入力!$B$2="男",成長曲線_男!F193,成長曲線_女!F193)</f>
        <v>5.2</v>
      </c>
      <c r="H195">
        <f>IF(入力!$B$2="男",成長曲線_男!G193,成長曲線_女!G193)</f>
        <v>167.9</v>
      </c>
      <c r="I195">
        <f>IF(入力!$B$2="男",成長曲線_男!H193,成長曲線_女!H193)</f>
        <v>162.69999999999999</v>
      </c>
      <c r="J195">
        <f>IF(入力!$B$2="男",成長曲線_男!I193,成長曲線_女!I193)</f>
        <v>152.30000000000001</v>
      </c>
      <c r="K195">
        <f>IF(入力!$B$2="男",成長曲線_男!J193,成長曲線_女!J193)</f>
        <v>147.1</v>
      </c>
      <c r="L195">
        <f>IF(入力!$B$2="男",成長曲線_男!K193,成長曲線_女!K193)</f>
        <v>144.5</v>
      </c>
      <c r="M195">
        <f>IF(入力!$B$2="男",成長曲線_男!L193,成長曲線_女!L193)</f>
        <v>141.9</v>
      </c>
      <c r="O195">
        <f>IF(入力!$B$2="男",成長曲線_男!N193,成長曲線_女!N193)</f>
        <v>52.5</v>
      </c>
      <c r="P195">
        <f>IF(入力!$B$2="男",成長曲線_男!O193,成長曲線_女!O193)</f>
        <v>8.07</v>
      </c>
      <c r="Q195">
        <f>IF(入力!$B$2="男",成長曲線_男!P193,成長曲線_女!P193)</f>
        <v>68.64</v>
      </c>
      <c r="R195">
        <f>IF(入力!$B$2="男",成長曲線_男!Q193,成長曲線_女!Q193)</f>
        <v>60.57</v>
      </c>
      <c r="S195">
        <f>IF(入力!$B$2="男",成長曲線_男!R193,成長曲線_女!R193)</f>
        <v>44.43</v>
      </c>
      <c r="T195">
        <f>IF(入力!$B$2="男",成長曲線_男!S193,成長曲線_女!S193)</f>
        <v>36.36</v>
      </c>
      <c r="AE195">
        <f>IF($D195*12&lt;150,IF($D195*12&lt;IF(入力!$B$2="男",78,69),2,3),4)+IF(入力!$B$2="男",0,4)</f>
        <v>8</v>
      </c>
      <c r="AF195">
        <f t="shared" si="18"/>
        <v>-1.492135062279992</v>
      </c>
      <c r="AG195">
        <f>IF($D195*12&lt;90,IF($D195*12&lt;26.75,IF($D195*12&lt;9.5,IF($D195*12&lt;2.5,2,3),4),5),6)+IF(入力!$B$2="男",0,6)+IF(AND(入力!$B$2&lt;&gt;"男",$D195*12&gt;=150),1,0)</f>
        <v>13</v>
      </c>
      <c r="AH195">
        <f t="shared" si="19"/>
        <v>20.823675961100005</v>
      </c>
      <c r="AI195">
        <f>IF(($D195*12)&lt;90,2,3)+IF(入力!$B$2="男",0,3)</f>
        <v>6</v>
      </c>
      <c r="AJ195">
        <f t="shared" si="20"/>
        <v>0.13024791238009992</v>
      </c>
      <c r="AK195">
        <f t="shared" si="25"/>
        <v>16.899803653224488</v>
      </c>
      <c r="AL195">
        <f t="shared" si="24"/>
        <v>17.94021608477825</v>
      </c>
      <c r="AM195">
        <f t="shared" si="24"/>
        <v>19.173695408294304</v>
      </c>
      <c r="AN195">
        <f t="shared" si="24"/>
        <v>20.823675961100005</v>
      </c>
      <c r="AO195">
        <f t="shared" si="24"/>
        <v>22.87988089303423</v>
      </c>
      <c r="AP195">
        <f t="shared" si="24"/>
        <v>25.230554916006287</v>
      </c>
      <c r="AQ195">
        <f t="shared" si="24"/>
        <v>28.24727144882722</v>
      </c>
    </row>
    <row r="196" spans="1:43" x14ac:dyDescent="0.15">
      <c r="A196">
        <f t="shared" si="23"/>
        <v>16</v>
      </c>
      <c r="B196" s="2">
        <v>0</v>
      </c>
      <c r="D196" s="3">
        <f t="shared" si="21"/>
        <v>16</v>
      </c>
      <c r="F196">
        <f>IF(入力!$B$2="男",成長曲線_男!E194,成長曲線_女!E194)</f>
        <v>157.5</v>
      </c>
      <c r="G196">
        <f>IF(入力!$B$2="男",成長曲線_男!F194,成長曲線_女!F194)</f>
        <v>5.2</v>
      </c>
      <c r="H196">
        <f>IF(入力!$B$2="男",成長曲線_男!G194,成長曲線_女!G194)</f>
        <v>167.9</v>
      </c>
      <c r="I196">
        <f>IF(入力!$B$2="男",成長曲線_男!H194,成長曲線_女!H194)</f>
        <v>162.69999999999999</v>
      </c>
      <c r="J196">
        <f>IF(入力!$B$2="男",成長曲線_男!I194,成長曲線_女!I194)</f>
        <v>152.30000000000001</v>
      </c>
      <c r="K196">
        <f>IF(入力!$B$2="男",成長曲線_男!J194,成長曲線_女!J194)</f>
        <v>147.1</v>
      </c>
      <c r="L196">
        <f>IF(入力!$B$2="男",成長曲線_男!K194,成長曲線_女!K194)</f>
        <v>144.5</v>
      </c>
      <c r="M196">
        <f>IF(入力!$B$2="男",成長曲線_男!L194,成長曲線_女!L194)</f>
        <v>141.9</v>
      </c>
      <c r="O196">
        <f>IF(入力!$B$2="男",成長曲線_男!N194,成長曲線_女!N194)</f>
        <v>52.6</v>
      </c>
      <c r="P196">
        <f>IF(入力!$B$2="男",成長曲線_男!O194,成長曲線_女!O194)</f>
        <v>8.0399999999999991</v>
      </c>
      <c r="Q196">
        <f>IF(入力!$B$2="男",成長曲線_男!P194,成長曲線_女!P194)</f>
        <v>68.680000000000007</v>
      </c>
      <c r="R196">
        <f>IF(入力!$B$2="男",成長曲線_男!Q194,成長曲線_女!Q194)</f>
        <v>60.64</v>
      </c>
      <c r="S196">
        <f>IF(入力!$B$2="男",成長曲線_男!R194,成長曲線_女!R194)</f>
        <v>44.56</v>
      </c>
      <c r="T196">
        <f>IF(入力!$B$2="男",成長曲線_男!S194,成長曲線_女!S194)</f>
        <v>36.520000000000003</v>
      </c>
      <c r="AE196">
        <f>IF($D196*12&lt;150,IF($D196*12&lt;IF(入力!$B$2="男",78,69),2,3),4)+IF(入力!$B$2="男",0,4)</f>
        <v>8</v>
      </c>
      <c r="AF196">
        <f t="shared" ref="AF196:AF214" si="26">INDEX(BMI_L,$AE196,3)*($D196*12)^3+INDEX(BMI_L,$AE196,4)*($D196*12)^2+INDEX(BMI_L,$AE196,5)*($D196*12)+INDEX(BMI_L,$AE196,6)</f>
        <v>-1.4990938758400105</v>
      </c>
      <c r="AG196">
        <f>IF($D196*12&lt;90,IF($D196*12&lt;26.75,IF($D196*12&lt;9.5,IF($D196*12&lt;2.5,2,3),4),5),6)+IF(入力!$B$2="男",0,6)+IF(AND(入力!$B$2&lt;&gt;"男",$D196*12&gt;=150),1,0)</f>
        <v>13</v>
      </c>
      <c r="AH196">
        <f t="shared" ref="AH196:AH214" si="27">INDEX(BMI_M,$AG196,3)*($D196*12)^3+INDEX(BMI_M,$AG196,4)*($D196*12)^2+INDEX(BMI_M,$AG196,5)*($D196*12)+INDEX(BMI_M,$AG196,6)</f>
        <v>20.843907030800004</v>
      </c>
      <c r="AI196">
        <f>IF(($D196*12)&lt;90,2,3)+IF(入力!$B$2="男",0,3)</f>
        <v>6</v>
      </c>
      <c r="AJ196">
        <f t="shared" ref="AJ196:AJ214" si="28">INDEX(BMI_S,$AI196,3)*($D196*12)^3+INDEX(BMI_S,$AI196,4)*($D196*12)^2+INDEX(BMI_S,$AI196,5)*($D196*12)+INDEX(BMI_S,$AI196,6)</f>
        <v>0.12991062269279985</v>
      </c>
      <c r="AK196">
        <f t="shared" si="25"/>
        <v>16.926394033572738</v>
      </c>
      <c r="AL196">
        <f t="shared" si="24"/>
        <v>17.96514738809131</v>
      </c>
      <c r="AM196">
        <f t="shared" si="24"/>
        <v>19.196619426928706</v>
      </c>
      <c r="AN196">
        <f t="shared" si="24"/>
        <v>20.843907030800004</v>
      </c>
      <c r="AO196">
        <f t="shared" si="24"/>
        <v>22.896852249772664</v>
      </c>
      <c r="AP196">
        <f t="shared" si="24"/>
        <v>25.244090636771507</v>
      </c>
      <c r="AQ196">
        <f t="shared" si="24"/>
        <v>28.25712012481355</v>
      </c>
    </row>
    <row r="197" spans="1:43" x14ac:dyDescent="0.15">
      <c r="A197">
        <f t="shared" si="23"/>
        <v>16</v>
      </c>
      <c r="B197" s="2">
        <v>1</v>
      </c>
      <c r="D197" s="3">
        <f t="shared" ref="D197:D214" si="29">A197+B197/12</f>
        <v>16.083333333333332</v>
      </c>
      <c r="F197">
        <f>IF(入力!$B$2="男",成長曲線_男!E195,成長曲線_女!E195)</f>
        <v>157.5</v>
      </c>
      <c r="G197">
        <f>IF(入力!$B$2="男",成長曲線_男!F195,成長曲線_女!F195)</f>
        <v>5.2</v>
      </c>
      <c r="H197">
        <f>IF(入力!$B$2="男",成長曲線_男!G195,成長曲線_女!G195)</f>
        <v>167.9</v>
      </c>
      <c r="I197">
        <f>IF(入力!$B$2="男",成長曲線_男!H195,成長曲線_女!H195)</f>
        <v>162.69999999999999</v>
      </c>
      <c r="J197">
        <f>IF(入力!$B$2="男",成長曲線_男!I195,成長曲線_女!I195)</f>
        <v>152.30000000000001</v>
      </c>
      <c r="K197">
        <f>IF(入力!$B$2="男",成長曲線_男!J195,成長曲線_女!J195)</f>
        <v>147.1</v>
      </c>
      <c r="L197">
        <f>IF(入力!$B$2="男",成長曲線_男!K195,成長曲線_女!K195)</f>
        <v>144.5</v>
      </c>
      <c r="M197">
        <f>IF(入力!$B$2="男",成長曲線_男!L195,成長曲線_女!L195)</f>
        <v>141.9</v>
      </c>
      <c r="O197">
        <f>IF(入力!$B$2="男",成長曲線_男!N195,成長曲線_女!N195)</f>
        <v>52.6</v>
      </c>
      <c r="P197">
        <f>IF(入力!$B$2="男",成長曲線_男!O195,成長曲線_女!O195)</f>
        <v>8</v>
      </c>
      <c r="Q197">
        <f>IF(入力!$B$2="男",成長曲線_男!P195,成長曲線_女!P195)</f>
        <v>68.599999999999994</v>
      </c>
      <c r="R197">
        <f>IF(入力!$B$2="男",成長曲線_男!Q195,成長曲線_女!Q195)</f>
        <v>60.6</v>
      </c>
      <c r="S197">
        <f>IF(入力!$B$2="男",成長曲線_男!R195,成長曲線_女!R195)</f>
        <v>44.6</v>
      </c>
      <c r="T197">
        <f>IF(入力!$B$2="男",成長曲線_男!S195,成長曲線_女!S195)</f>
        <v>36.6</v>
      </c>
      <c r="AE197">
        <f>IF($D197*12&lt;150,IF($D197*12&lt;IF(入力!$B$2="男",78,69),2,3),4)+IF(入力!$B$2="男",0,4)</f>
        <v>8</v>
      </c>
      <c r="AF197">
        <f t="shared" si="26"/>
        <v>-1.5057454747599976</v>
      </c>
      <c r="AG197">
        <f>IF($D197*12&lt;90,IF($D197*12&lt;26.75,IF($D197*12&lt;9.5,IF($D197*12&lt;2.5,2,3),4),5),6)+IF(入力!$B$2="男",0,6)+IF(AND(入力!$B$2&lt;&gt;"男",$D197*12&gt;=150),1,0)</f>
        <v>13</v>
      </c>
      <c r="AH197">
        <f t="shared" si="27"/>
        <v>20.862535811700003</v>
      </c>
      <c r="AI197">
        <f>IF(($D197*12)&lt;90,2,3)+IF(入力!$B$2="男",0,3)</f>
        <v>6</v>
      </c>
      <c r="AJ197">
        <f t="shared" si="28"/>
        <v>0.12956892133669984</v>
      </c>
      <c r="AK197">
        <f t="shared" si="25"/>
        <v>16.951691826393695</v>
      </c>
      <c r="AL197">
        <f t="shared" si="24"/>
        <v>17.988729823731493</v>
      </c>
      <c r="AM197">
        <f t="shared" si="24"/>
        <v>19.218104871156477</v>
      </c>
      <c r="AN197">
        <f t="shared" si="24"/>
        <v>20.862535811700003</v>
      </c>
      <c r="AO197">
        <f t="shared" si="24"/>
        <v>22.91193860669939</v>
      </c>
      <c r="AP197">
        <f t="shared" si="24"/>
        <v>25.255298242852888</v>
      </c>
      <c r="AQ197">
        <f t="shared" si="24"/>
        <v>28.263862715253335</v>
      </c>
    </row>
    <row r="198" spans="1:43" x14ac:dyDescent="0.15">
      <c r="A198">
        <f t="shared" si="23"/>
        <v>16</v>
      </c>
      <c r="B198" s="2">
        <v>2</v>
      </c>
      <c r="D198" s="3">
        <f t="shared" si="29"/>
        <v>16.166666666666668</v>
      </c>
      <c r="F198">
        <f>IF(入力!$B$2="男",成長曲線_男!E196,成長曲線_女!E196)</f>
        <v>157.6</v>
      </c>
      <c r="G198">
        <f>IF(入力!$B$2="男",成長曲線_男!F196,成長曲線_女!F196)</f>
        <v>5.2</v>
      </c>
      <c r="H198">
        <f>IF(入力!$B$2="男",成長曲線_男!G196,成長曲線_女!G196)</f>
        <v>168</v>
      </c>
      <c r="I198">
        <f>IF(入力!$B$2="男",成長曲線_男!H196,成長曲線_女!H196)</f>
        <v>162.79999999999998</v>
      </c>
      <c r="J198">
        <f>IF(入力!$B$2="男",成長曲線_男!I196,成長曲線_女!I196)</f>
        <v>152.4</v>
      </c>
      <c r="K198">
        <f>IF(入力!$B$2="男",成長曲線_男!J196,成長曲線_女!J196)</f>
        <v>147.19999999999999</v>
      </c>
      <c r="L198">
        <f>IF(入力!$B$2="男",成長曲線_男!K196,成長曲線_女!K196)</f>
        <v>144.6</v>
      </c>
      <c r="M198">
        <f>IF(入力!$B$2="男",成長曲線_男!L196,成長曲線_女!L196)</f>
        <v>142</v>
      </c>
      <c r="O198">
        <f>IF(入力!$B$2="男",成長曲線_男!N196,成長曲線_女!N196)</f>
        <v>52.7</v>
      </c>
      <c r="P198">
        <f>IF(入力!$B$2="男",成長曲線_男!O196,成長曲線_女!O196)</f>
        <v>7.96</v>
      </c>
      <c r="Q198">
        <f>IF(入力!$B$2="男",成長曲線_男!P196,成長曲線_女!P196)</f>
        <v>68.62</v>
      </c>
      <c r="R198">
        <f>IF(入力!$B$2="男",成長曲線_男!Q196,成長曲線_女!Q196)</f>
        <v>60.660000000000004</v>
      </c>
      <c r="S198">
        <f>IF(入力!$B$2="男",成長曲線_男!R196,成長曲線_女!R196)</f>
        <v>44.74</v>
      </c>
      <c r="T198">
        <f>IF(入力!$B$2="男",成長曲線_男!S196,成長曲線_女!S196)</f>
        <v>36.78</v>
      </c>
      <c r="AE198">
        <f>IF($D198*12&lt;150,IF($D198*12&lt;IF(入力!$B$2="男",78,69),2,3),4)+IF(入力!$B$2="男",0,4)</f>
        <v>8</v>
      </c>
      <c r="AF198">
        <f t="shared" si="26"/>
        <v>-1.5120573731200082</v>
      </c>
      <c r="AG198">
        <f>IF($D198*12&lt;90,IF($D198*12&lt;26.75,IF($D198*12&lt;9.5,IF($D198*12&lt;2.5,2,3),4),5),6)+IF(入力!$B$2="男",0,6)+IF(AND(入力!$B$2&lt;&gt;"男",$D198*12&gt;=150),1,0)</f>
        <v>13</v>
      </c>
      <c r="AH198">
        <f t="shared" si="27"/>
        <v>20.879547262400003</v>
      </c>
      <c r="AI198">
        <f>IF(($D198*12)&lt;90,2,3)+IF(入力!$B$2="男",0,3)</f>
        <v>6</v>
      </c>
      <c r="AJ198">
        <f t="shared" si="28"/>
        <v>0.12922293481039987</v>
      </c>
      <c r="AK198">
        <f t="shared" si="25"/>
        <v>16.9756705614328</v>
      </c>
      <c r="AL198">
        <f t="shared" si="24"/>
        <v>18.010941430000351</v>
      </c>
      <c r="AM198">
        <f t="shared" si="24"/>
        <v>19.238133827594524</v>
      </c>
      <c r="AN198">
        <f t="shared" si="24"/>
        <v>20.879547262400003</v>
      </c>
      <c r="AO198">
        <f t="shared" si="24"/>
        <v>22.925123741750753</v>
      </c>
      <c r="AP198">
        <f t="shared" si="24"/>
        <v>25.264152539397344</v>
      </c>
      <c r="AQ198">
        <f t="shared" si="24"/>
        <v>28.26744831639974</v>
      </c>
    </row>
    <row r="199" spans="1:43" x14ac:dyDescent="0.15">
      <c r="A199">
        <f t="shared" si="23"/>
        <v>16</v>
      </c>
      <c r="B199" s="2">
        <v>3</v>
      </c>
      <c r="D199" s="3">
        <f t="shared" si="29"/>
        <v>16.25</v>
      </c>
      <c r="F199">
        <f>IF(入力!$B$2="男",成長曲線_男!E197,成長曲線_女!E197)</f>
        <v>157.6</v>
      </c>
      <c r="G199">
        <f>IF(入力!$B$2="男",成長曲線_男!F197,成長曲線_女!F197)</f>
        <v>5.2</v>
      </c>
      <c r="H199">
        <f>IF(入力!$B$2="男",成長曲線_男!G197,成長曲線_女!G197)</f>
        <v>168</v>
      </c>
      <c r="I199">
        <f>IF(入力!$B$2="男",成長曲線_男!H197,成長曲線_女!H197)</f>
        <v>162.79999999999998</v>
      </c>
      <c r="J199">
        <f>IF(入力!$B$2="男",成長曲線_男!I197,成長曲線_女!I197)</f>
        <v>152.4</v>
      </c>
      <c r="K199">
        <f>IF(入力!$B$2="男",成長曲線_男!J197,成長曲線_女!J197)</f>
        <v>147.19999999999999</v>
      </c>
      <c r="L199">
        <f>IF(入力!$B$2="男",成長曲線_男!K197,成長曲線_女!K197)</f>
        <v>144.6</v>
      </c>
      <c r="M199">
        <f>IF(入力!$B$2="男",成長曲線_男!L197,成長曲線_女!L197)</f>
        <v>142</v>
      </c>
      <c r="O199">
        <f>IF(入力!$B$2="男",成長曲線_男!N197,成長曲線_女!N197)</f>
        <v>52.8</v>
      </c>
      <c r="P199">
        <f>IF(入力!$B$2="男",成長曲線_男!O197,成長曲線_女!O197)</f>
        <v>7.92</v>
      </c>
      <c r="Q199">
        <f>IF(入力!$B$2="男",成長曲線_男!P197,成長曲線_女!P197)</f>
        <v>68.64</v>
      </c>
      <c r="R199">
        <f>IF(入力!$B$2="男",成長曲線_男!Q197,成長曲線_女!Q197)</f>
        <v>60.72</v>
      </c>
      <c r="S199">
        <f>IF(入力!$B$2="男",成長曲線_男!R197,成長曲線_女!R197)</f>
        <v>44.879999999999995</v>
      </c>
      <c r="T199">
        <f>IF(入力!$B$2="男",成長曲線_男!S197,成長曲線_女!S197)</f>
        <v>36.959999999999994</v>
      </c>
      <c r="AE199">
        <f>IF($D199*12&lt;150,IF($D199*12&lt;IF(入力!$B$2="男",78,69),2,3),4)+IF(入力!$B$2="男",0,4)</f>
        <v>8</v>
      </c>
      <c r="AF199">
        <f t="shared" si="26"/>
        <v>-1.5179970849999975</v>
      </c>
      <c r="AG199">
        <f>IF($D199*12&lt;90,IF($D199*12&lt;26.75,IF($D199*12&lt;9.5,IF($D199*12&lt;2.5,2,3),4),5),6)+IF(入力!$B$2="男",0,6)+IF(AND(入力!$B$2&lt;&gt;"男",$D199*12&gt;=150),1,0)</f>
        <v>13</v>
      </c>
      <c r="AH199">
        <f t="shared" si="27"/>
        <v>20.894926341500003</v>
      </c>
      <c r="AI199">
        <f>IF(($D199*12)&lt;90,2,3)+IF(入力!$B$2="男",0,3)</f>
        <v>6</v>
      </c>
      <c r="AJ199">
        <f t="shared" si="28"/>
        <v>0.12887278961249982</v>
      </c>
      <c r="AK199">
        <f t="shared" si="25"/>
        <v>16.998303934747028</v>
      </c>
      <c r="AL199">
        <f t="shared" si="24"/>
        <v>18.031760326072039</v>
      </c>
      <c r="AM199">
        <f t="shared" si="24"/>
        <v>19.256688395220131</v>
      </c>
      <c r="AN199">
        <f t="shared" si="24"/>
        <v>20.894926341500003</v>
      </c>
      <c r="AO199">
        <f t="shared" si="24"/>
        <v>22.936391595110365</v>
      </c>
      <c r="AP199">
        <f t="shared" si="24"/>
        <v>25.27062901093214</v>
      </c>
      <c r="AQ199">
        <f t="shared" si="24"/>
        <v>28.267828071441464</v>
      </c>
    </row>
    <row r="200" spans="1:43" x14ac:dyDescent="0.15">
      <c r="A200">
        <f t="shared" si="23"/>
        <v>16</v>
      </c>
      <c r="B200" s="2">
        <v>4</v>
      </c>
      <c r="D200" s="3">
        <f t="shared" si="29"/>
        <v>16.333333333333332</v>
      </c>
      <c r="F200">
        <f>IF(入力!$B$2="男",成長曲線_男!E198,成長曲線_女!E198)</f>
        <v>157.6</v>
      </c>
      <c r="G200">
        <f>IF(入力!$B$2="男",成長曲線_男!F198,成長曲線_女!F198)</f>
        <v>5.2</v>
      </c>
      <c r="H200">
        <f>IF(入力!$B$2="男",成長曲線_男!G198,成長曲線_女!G198)</f>
        <v>168</v>
      </c>
      <c r="I200">
        <f>IF(入力!$B$2="男",成長曲線_男!H198,成長曲線_女!H198)</f>
        <v>162.79999999999998</v>
      </c>
      <c r="J200">
        <f>IF(入力!$B$2="男",成長曲線_男!I198,成長曲線_女!I198)</f>
        <v>152.4</v>
      </c>
      <c r="K200">
        <f>IF(入力!$B$2="男",成長曲線_男!J198,成長曲線_女!J198)</f>
        <v>147.19999999999999</v>
      </c>
      <c r="L200">
        <f>IF(入力!$B$2="男",成長曲線_男!K198,成長曲線_女!K198)</f>
        <v>144.6</v>
      </c>
      <c r="M200">
        <f>IF(入力!$B$2="男",成長曲線_男!L198,成長曲線_女!L198)</f>
        <v>142</v>
      </c>
      <c r="O200">
        <f>IF(入力!$B$2="男",成長曲線_男!N198,成長曲線_女!N198)</f>
        <v>52.9</v>
      </c>
      <c r="P200">
        <f>IF(入力!$B$2="男",成長曲線_男!O198,成長曲線_女!O198)</f>
        <v>7.89</v>
      </c>
      <c r="Q200">
        <f>IF(入力!$B$2="男",成長曲線_男!P198,成長曲線_女!P198)</f>
        <v>68.679999999999993</v>
      </c>
      <c r="R200">
        <f>IF(入力!$B$2="男",成長曲線_男!Q198,成長曲線_女!Q198)</f>
        <v>60.79</v>
      </c>
      <c r="S200">
        <f>IF(入力!$B$2="男",成長曲線_男!R198,成長曲線_女!R198)</f>
        <v>45.01</v>
      </c>
      <c r="T200">
        <f>IF(入力!$B$2="男",成長曲線_男!S198,成長曲線_女!S198)</f>
        <v>37.119999999999997</v>
      </c>
      <c r="AE200">
        <f>IF($D200*12&lt;150,IF($D200*12&lt;IF(入力!$B$2="男",78,69),2,3),4)+IF(入力!$B$2="男",0,4)</f>
        <v>8</v>
      </c>
      <c r="AF200">
        <f t="shared" si="26"/>
        <v>-1.5235321244800062</v>
      </c>
      <c r="AG200">
        <f>IF($D200*12&lt;90,IF($D200*12&lt;26.75,IF($D200*12&lt;9.5,IF($D200*12&lt;2.5,2,3),4),5),6)+IF(入力!$B$2="男",0,6)+IF(AND(入力!$B$2&lt;&gt;"男",$D200*12&gt;=150),1,0)</f>
        <v>13</v>
      </c>
      <c r="AH200">
        <f t="shared" si="27"/>
        <v>20.908658007600003</v>
      </c>
      <c r="AI200">
        <f>IF(($D200*12)&lt;90,2,3)+IF(入力!$B$2="男",0,3)</f>
        <v>6</v>
      </c>
      <c r="AJ200">
        <f t="shared" si="28"/>
        <v>0.12851861224159983</v>
      </c>
      <c r="AK200">
        <f t="shared" si="25"/>
        <v>17.019565811796895</v>
      </c>
      <c r="AL200">
        <f t="shared" si="24"/>
        <v>18.05116471530744</v>
      </c>
      <c r="AM200">
        <f t="shared" si="24"/>
        <v>19.273750687380687</v>
      </c>
      <c r="AN200">
        <f t="shared" si="24"/>
        <v>20.908658007600003</v>
      </c>
      <c r="AO200">
        <f t="shared" si="24"/>
        <v>22.945726273240609</v>
      </c>
      <c r="AP200">
        <f t="shared" si="24"/>
        <v>25.274703854929747</v>
      </c>
      <c r="AQ200">
        <f t="shared" si="24"/>
        <v>28.264955322681953</v>
      </c>
    </row>
    <row r="201" spans="1:43" x14ac:dyDescent="0.15">
      <c r="A201">
        <f t="shared" si="23"/>
        <v>16</v>
      </c>
      <c r="B201" s="2">
        <v>5</v>
      </c>
      <c r="D201" s="3">
        <f t="shared" si="29"/>
        <v>16.416666666666668</v>
      </c>
      <c r="F201">
        <f>IF(入力!$B$2="男",成長曲線_男!E199,成長曲線_女!E199)</f>
        <v>157.69999999999999</v>
      </c>
      <c r="G201">
        <f>IF(入力!$B$2="男",成長曲線_男!F199,成長曲線_女!F199)</f>
        <v>5.2</v>
      </c>
      <c r="H201">
        <f>IF(入力!$B$2="男",成長曲線_男!G199,成長曲線_女!G199)</f>
        <v>168.1</v>
      </c>
      <c r="I201">
        <f>IF(入力!$B$2="男",成長曲線_男!H199,成長曲線_女!H199)</f>
        <v>162.89999999999998</v>
      </c>
      <c r="J201">
        <f>IF(入力!$B$2="男",成長曲線_男!I199,成長曲線_女!I199)</f>
        <v>152.5</v>
      </c>
      <c r="K201">
        <f>IF(入力!$B$2="男",成長曲線_男!J199,成長曲線_女!J199)</f>
        <v>147.29999999999998</v>
      </c>
      <c r="L201">
        <f>IF(入力!$B$2="男",成長曲線_男!K199,成長曲線_女!K199)</f>
        <v>144.69999999999999</v>
      </c>
      <c r="M201">
        <f>IF(入力!$B$2="男",成長曲線_男!L199,成長曲線_女!L199)</f>
        <v>142.1</v>
      </c>
      <c r="O201">
        <f>IF(入力!$B$2="男",成長曲線_男!N199,成長曲線_女!N199)</f>
        <v>52.9</v>
      </c>
      <c r="P201">
        <f>IF(入力!$B$2="男",成長曲線_男!O199,成長曲線_女!O199)</f>
        <v>7.85</v>
      </c>
      <c r="Q201">
        <f>IF(入力!$B$2="男",成長曲線_男!P199,成長曲線_女!P199)</f>
        <v>68.599999999999994</v>
      </c>
      <c r="R201">
        <f>IF(入力!$B$2="男",成長曲線_男!Q199,成長曲線_女!Q199)</f>
        <v>60.75</v>
      </c>
      <c r="S201">
        <f>IF(入力!$B$2="男",成長曲線_男!R199,成長曲線_女!R199)</f>
        <v>45.05</v>
      </c>
      <c r="T201">
        <f>IF(入力!$B$2="男",成長曲線_男!S199,成長曲線_女!S199)</f>
        <v>37.200000000000003</v>
      </c>
      <c r="AE201">
        <f>IF($D201*12&lt;150,IF($D201*12&lt;IF(入力!$B$2="男",78,69),2,3),4)+IF(入力!$B$2="男",0,4)</f>
        <v>8</v>
      </c>
      <c r="AF201">
        <f t="shared" si="26"/>
        <v>-1.5286300056399895</v>
      </c>
      <c r="AG201">
        <f>IF($D201*12&lt;90,IF($D201*12&lt;26.75,IF($D201*12&lt;9.5,IF($D201*12&lt;2.5,2,3),4),5),6)+IF(入力!$B$2="男",0,6)+IF(AND(入力!$B$2&lt;&gt;"男",$D201*12&gt;=150),1,0)</f>
        <v>13</v>
      </c>
      <c r="AH201">
        <f t="shared" si="27"/>
        <v>20.920727219300002</v>
      </c>
      <c r="AI201">
        <f>IF(($D201*12)&lt;90,2,3)+IF(入力!$B$2="男",0,3)</f>
        <v>6</v>
      </c>
      <c r="AJ201">
        <f t="shared" si="28"/>
        <v>0.12816052919629989</v>
      </c>
      <c r="AK201">
        <f t="shared" si="25"/>
        <v>17.039430229734158</v>
      </c>
      <c r="AL201">
        <f t="shared" si="24"/>
        <v>18.069132888155988</v>
      </c>
      <c r="AM201">
        <f t="shared" si="24"/>
        <v>19.289302833683031</v>
      </c>
      <c r="AN201">
        <f t="shared" si="24"/>
        <v>20.920727219300002</v>
      </c>
      <c r="AO201">
        <f t="shared" si="24"/>
        <v>22.953112052687246</v>
      </c>
      <c r="AP201">
        <f t="shared" si="24"/>
        <v>25.276354014475526</v>
      </c>
      <c r="AQ201">
        <f t="shared" si="24"/>
        <v>28.258785761514691</v>
      </c>
    </row>
    <row r="202" spans="1:43" x14ac:dyDescent="0.15">
      <c r="A202">
        <f t="shared" si="23"/>
        <v>16</v>
      </c>
      <c r="B202" s="2">
        <v>6</v>
      </c>
      <c r="D202" s="3">
        <f t="shared" si="29"/>
        <v>16.5</v>
      </c>
      <c r="F202">
        <f>IF(入力!$B$2="男",成長曲線_男!E200,成長曲線_女!E200)</f>
        <v>157.69999999999999</v>
      </c>
      <c r="G202">
        <f>IF(入力!$B$2="男",成長曲線_男!F200,成長曲線_女!F200)</f>
        <v>5.2</v>
      </c>
      <c r="H202">
        <f>IF(入力!$B$2="男",成長曲線_男!G200,成長曲線_女!G200)</f>
        <v>168.1</v>
      </c>
      <c r="I202">
        <f>IF(入力!$B$2="男",成長曲線_男!H200,成長曲線_女!H200)</f>
        <v>162.89999999999998</v>
      </c>
      <c r="J202">
        <f>IF(入力!$B$2="男",成長曲線_男!I200,成長曲線_女!I200)</f>
        <v>152.5</v>
      </c>
      <c r="K202">
        <f>IF(入力!$B$2="男",成長曲線_男!J200,成長曲線_女!J200)</f>
        <v>147.29999999999998</v>
      </c>
      <c r="L202">
        <f>IF(入力!$B$2="男",成長曲線_男!K200,成長曲線_女!K200)</f>
        <v>144.69999999999999</v>
      </c>
      <c r="M202">
        <f>IF(入力!$B$2="男",成長曲線_男!L200,成長曲線_女!L200)</f>
        <v>142.1</v>
      </c>
      <c r="O202">
        <f>IF(入力!$B$2="男",成長曲線_男!N200,成長曲線_女!N200)</f>
        <v>53</v>
      </c>
      <c r="P202">
        <f>IF(入力!$B$2="男",成長曲線_男!O200,成長曲線_女!O200)</f>
        <v>7.81</v>
      </c>
      <c r="Q202">
        <f>IF(入力!$B$2="男",成長曲線_男!P200,成長曲線_女!P200)</f>
        <v>68.62</v>
      </c>
      <c r="R202">
        <f>IF(入力!$B$2="男",成長曲線_男!Q200,成長曲線_女!Q200)</f>
        <v>60.81</v>
      </c>
      <c r="S202">
        <f>IF(入力!$B$2="男",成長曲線_男!R200,成長曲線_女!R200)</f>
        <v>45.19</v>
      </c>
      <c r="T202">
        <f>IF(入力!$B$2="男",成長曲線_男!S200,成長曲線_女!S200)</f>
        <v>37.380000000000003</v>
      </c>
      <c r="AE202">
        <f>IF($D202*12&lt;150,IF($D202*12&lt;IF(入力!$B$2="男",78,69),2,3),4)+IF(入力!$B$2="男",0,4)</f>
        <v>8</v>
      </c>
      <c r="AF202">
        <f t="shared" si="26"/>
        <v>-1.5332582425600023</v>
      </c>
      <c r="AG202">
        <f>IF($D202*12&lt;90,IF($D202*12&lt;26.75,IF($D202*12&lt;9.5,IF($D202*12&lt;2.5,2,3),4),5),6)+IF(入力!$B$2="男",0,6)+IF(AND(入力!$B$2&lt;&gt;"男",$D202*12&gt;=150),1,0)</f>
        <v>13</v>
      </c>
      <c r="AH202">
        <f t="shared" si="27"/>
        <v>20.931118935200004</v>
      </c>
      <c r="AI202">
        <f>IF(($D202*12)&lt;90,2,3)+IF(入力!$B$2="男",0,3)</f>
        <v>6</v>
      </c>
      <c r="AJ202">
        <f t="shared" si="28"/>
        <v>0.12779866697519993</v>
      </c>
      <c r="AK202">
        <f t="shared" si="25"/>
        <v>17.057871398924924</v>
      </c>
      <c r="AL202">
        <f t="shared" si="24"/>
        <v>18.085643224663396</v>
      </c>
      <c r="AM202">
        <f t="shared" si="24"/>
        <v>19.303326981766425</v>
      </c>
      <c r="AN202">
        <f t="shared" si="24"/>
        <v>20.931118935200004</v>
      </c>
      <c r="AO202">
        <f t="shared" si="24"/>
        <v>22.958533383641193</v>
      </c>
      <c r="AP202">
        <f t="shared" si="24"/>
        <v>25.275557209844202</v>
      </c>
      <c r="AQ202">
        <f t="shared" si="24"/>
        <v>28.249277574951922</v>
      </c>
    </row>
    <row r="203" spans="1:43" x14ac:dyDescent="0.15">
      <c r="A203">
        <f t="shared" si="23"/>
        <v>16</v>
      </c>
      <c r="B203" s="2">
        <v>7</v>
      </c>
      <c r="D203" s="3">
        <f t="shared" si="29"/>
        <v>16.583333333333332</v>
      </c>
      <c r="F203">
        <f>IF(入力!$B$2="男",成長曲線_男!E201,成長曲線_女!E201)</f>
        <v>157.69999999999999</v>
      </c>
      <c r="G203">
        <f>IF(入力!$B$2="男",成長曲線_男!F201,成長曲線_女!F201)</f>
        <v>5.2</v>
      </c>
      <c r="H203">
        <f>IF(入力!$B$2="男",成長曲線_男!G201,成長曲線_女!G201)</f>
        <v>168.1</v>
      </c>
      <c r="I203">
        <f>IF(入力!$B$2="男",成長曲線_男!H201,成長曲線_女!H201)</f>
        <v>162.89999999999998</v>
      </c>
      <c r="J203">
        <f>IF(入力!$B$2="男",成長曲線_男!I201,成長曲線_女!I201)</f>
        <v>152.5</v>
      </c>
      <c r="K203">
        <f>IF(入力!$B$2="男",成長曲線_男!J201,成長曲線_女!J201)</f>
        <v>147.29999999999998</v>
      </c>
      <c r="L203">
        <f>IF(入力!$B$2="男",成長曲線_男!K201,成長曲線_女!K201)</f>
        <v>144.69999999999999</v>
      </c>
      <c r="M203">
        <f>IF(入力!$B$2="男",成長曲線_男!L201,成長曲線_女!L201)</f>
        <v>142.1</v>
      </c>
      <c r="O203">
        <f>IF(入力!$B$2="男",成長曲線_男!N201,成長曲線_女!N201)</f>
        <v>53</v>
      </c>
      <c r="P203">
        <f>IF(入力!$B$2="男",成長曲線_男!O201,成長曲線_女!O201)</f>
        <v>7.82</v>
      </c>
      <c r="Q203">
        <f>IF(入力!$B$2="男",成長曲線_男!P201,成長曲線_女!P201)</f>
        <v>68.64</v>
      </c>
      <c r="R203">
        <f>IF(入力!$B$2="男",成長曲線_男!Q201,成長曲線_女!Q201)</f>
        <v>60.82</v>
      </c>
      <c r="S203">
        <f>IF(入力!$B$2="男",成長曲線_男!R201,成長曲線_女!R201)</f>
        <v>45.18</v>
      </c>
      <c r="T203">
        <f>IF(入力!$B$2="男",成長曲線_男!S201,成長曲線_女!S201)</f>
        <v>37.36</v>
      </c>
      <c r="AE203">
        <f>IF($D203*12&lt;150,IF($D203*12&lt;IF(入力!$B$2="男",78,69),2,3),4)+IF(入力!$B$2="男",0,4)</f>
        <v>8</v>
      </c>
      <c r="AF203">
        <f t="shared" si="26"/>
        <v>-1.5373843493200141</v>
      </c>
      <c r="AG203">
        <f>IF($D203*12&lt;90,IF($D203*12&lt;26.75,IF($D203*12&lt;9.5,IF($D203*12&lt;2.5,2,3),4),5),6)+IF(入力!$B$2="男",0,6)+IF(AND(入力!$B$2&lt;&gt;"男",$D203*12&gt;=150),1,0)</f>
        <v>13</v>
      </c>
      <c r="AH203">
        <f t="shared" si="27"/>
        <v>20.939818113900003</v>
      </c>
      <c r="AI203">
        <f>IF(($D203*12)&lt;90,2,3)+IF(入力!$B$2="男",0,3)</f>
        <v>6</v>
      </c>
      <c r="AJ203">
        <f t="shared" si="28"/>
        <v>0.12743315207689998</v>
      </c>
      <c r="AK203">
        <f t="shared" si="25"/>
        <v>17.074863703746392</v>
      </c>
      <c r="AL203">
        <f t="shared" si="24"/>
        <v>18.100674196603375</v>
      </c>
      <c r="AM203">
        <f t="shared" si="24"/>
        <v>19.315805298962932</v>
      </c>
      <c r="AN203">
        <f t="shared" si="24"/>
        <v>20.939818113900003</v>
      </c>
      <c r="AO203">
        <f t="shared" si="24"/>
        <v>22.961974893241802</v>
      </c>
      <c r="AP203">
        <f t="shared" si="24"/>
        <v>25.272291968788213</v>
      </c>
      <c r="AQ203">
        <f t="shared" si="24"/>
        <v>28.236391587427065</v>
      </c>
    </row>
    <row r="204" spans="1:43" x14ac:dyDescent="0.15">
      <c r="A204">
        <f t="shared" si="23"/>
        <v>16</v>
      </c>
      <c r="B204" s="2">
        <v>8</v>
      </c>
      <c r="D204" s="3">
        <f t="shared" si="29"/>
        <v>16.666666666666668</v>
      </c>
      <c r="F204">
        <f>IF(入力!$B$2="男",成長曲線_男!E202,成長曲線_女!E202)</f>
        <v>157.80000000000001</v>
      </c>
      <c r="G204">
        <f>IF(入力!$B$2="男",成長曲線_男!F202,成長曲線_女!F202)</f>
        <v>5.2</v>
      </c>
      <c r="H204">
        <f>IF(入力!$B$2="男",成長曲線_男!G202,成長曲線_女!G202)</f>
        <v>168.20000000000002</v>
      </c>
      <c r="I204">
        <f>IF(入力!$B$2="男",成長曲線_男!H202,成長曲線_女!H202)</f>
        <v>163</v>
      </c>
      <c r="J204">
        <f>IF(入力!$B$2="男",成長曲線_男!I202,成長曲線_女!I202)</f>
        <v>152.60000000000002</v>
      </c>
      <c r="K204">
        <f>IF(入力!$B$2="男",成長曲線_男!J202,成長曲線_女!J202)</f>
        <v>147.4</v>
      </c>
      <c r="L204">
        <f>IF(入力!$B$2="男",成長曲線_男!K202,成長曲線_女!K202)</f>
        <v>144.80000000000001</v>
      </c>
      <c r="M204">
        <f>IF(入力!$B$2="男",成長曲線_男!L202,成長曲線_女!L202)</f>
        <v>142.20000000000002</v>
      </c>
      <c r="O204">
        <f>IF(入力!$B$2="男",成長曲線_男!N202,成長曲線_女!N202)</f>
        <v>53</v>
      </c>
      <c r="P204">
        <f>IF(入力!$B$2="男",成長曲線_男!O202,成長曲線_女!O202)</f>
        <v>7.82</v>
      </c>
      <c r="Q204">
        <f>IF(入力!$B$2="男",成長曲線_男!P202,成長曲線_女!P202)</f>
        <v>68.64</v>
      </c>
      <c r="R204">
        <f>IF(入力!$B$2="男",成長曲線_男!Q202,成長曲線_女!Q202)</f>
        <v>60.82</v>
      </c>
      <c r="S204">
        <f>IF(入力!$B$2="男",成長曲線_男!R202,成長曲線_女!R202)</f>
        <v>45.18</v>
      </c>
      <c r="T204">
        <f>IF(入力!$B$2="男",成長曲線_男!S202,成長曲線_女!S202)</f>
        <v>37.36</v>
      </c>
      <c r="AE204">
        <f>IF($D204*12&lt;150,IF($D204*12&lt;IF(入力!$B$2="男",78,69),2,3),4)+IF(入力!$B$2="男",0,4)</f>
        <v>8</v>
      </c>
      <c r="AF204">
        <f t="shared" si="26"/>
        <v>-1.5409758399999944</v>
      </c>
      <c r="AG204">
        <f>IF($D204*12&lt;90,IF($D204*12&lt;26.75,IF($D204*12&lt;9.5,IF($D204*12&lt;2.5,2,3),4),5),6)+IF(入力!$B$2="男",0,6)+IF(AND(入力!$B$2&lt;&gt;"男",$D204*12&gt;=150),1,0)</f>
        <v>13</v>
      </c>
      <c r="AH204">
        <f t="shared" si="27"/>
        <v>20.946809714000004</v>
      </c>
      <c r="AI204">
        <f>IF(($D204*12)&lt;90,2,3)+IF(入力!$B$2="男",0,3)</f>
        <v>6</v>
      </c>
      <c r="AJ204">
        <f t="shared" si="28"/>
        <v>0.12706411099999987</v>
      </c>
      <c r="AK204">
        <f t="shared" si="25"/>
        <v>17.090381702694454</v>
      </c>
      <c r="AL204">
        <f t="shared" si="24"/>
        <v>18.114204369251308</v>
      </c>
      <c r="AM204">
        <f t="shared" si="24"/>
        <v>19.326719973849613</v>
      </c>
      <c r="AN204">
        <f t="shared" si="24"/>
        <v>20.946809714000004</v>
      </c>
      <c r="AO204">
        <f t="shared" si="24"/>
        <v>22.963421388606633</v>
      </c>
      <c r="AP204">
        <f t="shared" si="24"/>
        <v>25.266537655342219</v>
      </c>
      <c r="AQ204">
        <f t="shared" si="24"/>
        <v>28.220091396571757</v>
      </c>
    </row>
    <row r="205" spans="1:43" x14ac:dyDescent="0.15">
      <c r="A205">
        <f t="shared" si="23"/>
        <v>16</v>
      </c>
      <c r="B205" s="2">
        <v>9</v>
      </c>
      <c r="D205" s="3">
        <f t="shared" si="29"/>
        <v>16.75</v>
      </c>
      <c r="F205">
        <f>IF(入力!$B$2="男",成長曲線_男!E203,成長曲線_女!E203)</f>
        <v>157.80000000000001</v>
      </c>
      <c r="G205">
        <f>IF(入力!$B$2="男",成長曲線_男!F203,成長曲線_女!F203)</f>
        <v>5.2</v>
      </c>
      <c r="H205">
        <f>IF(入力!$B$2="男",成長曲線_男!G203,成長曲線_女!G203)</f>
        <v>168.20000000000002</v>
      </c>
      <c r="I205">
        <f>IF(入力!$B$2="男",成長曲線_男!H203,成長曲線_女!H203)</f>
        <v>163</v>
      </c>
      <c r="J205">
        <f>IF(入力!$B$2="男",成長曲線_男!I203,成長曲線_女!I203)</f>
        <v>152.60000000000002</v>
      </c>
      <c r="K205">
        <f>IF(入力!$B$2="男",成長曲線_男!J203,成長曲線_女!J203)</f>
        <v>147.4</v>
      </c>
      <c r="L205">
        <f>IF(入力!$B$2="男",成長曲線_男!K203,成長曲線_女!K203)</f>
        <v>144.80000000000001</v>
      </c>
      <c r="M205">
        <f>IF(入力!$B$2="男",成長曲線_男!L203,成長曲線_女!L203)</f>
        <v>142.20000000000002</v>
      </c>
      <c r="O205">
        <f>IF(入力!$B$2="男",成長曲線_男!N203,成長曲線_女!N203)</f>
        <v>53</v>
      </c>
      <c r="P205">
        <f>IF(入力!$B$2="男",成長曲線_男!O203,成長曲線_女!O203)</f>
        <v>7.83</v>
      </c>
      <c r="Q205">
        <f>IF(入力!$B$2="男",成長曲線_男!P203,成長曲線_女!P203)</f>
        <v>68.66</v>
      </c>
      <c r="R205">
        <f>IF(入力!$B$2="男",成長曲線_男!Q203,成長曲線_女!Q203)</f>
        <v>60.83</v>
      </c>
      <c r="S205">
        <f>IF(入力!$B$2="男",成長曲線_男!R203,成長曲線_女!R203)</f>
        <v>45.17</v>
      </c>
      <c r="T205">
        <f>IF(入力!$B$2="男",成長曲線_男!S203,成長曲線_女!S203)</f>
        <v>37.340000000000003</v>
      </c>
      <c r="AE205">
        <f>IF($D205*12&lt;150,IF($D205*12&lt;IF(入力!$B$2="男",78,69),2,3),4)+IF(入力!$B$2="男",0,4)</f>
        <v>8</v>
      </c>
      <c r="AF205">
        <f t="shared" si="26"/>
        <v>-1.5440002286800123</v>
      </c>
      <c r="AG205">
        <f>IF($D205*12&lt;90,IF($D205*12&lt;26.75,IF($D205*12&lt;9.5,IF($D205*12&lt;2.5,2,3),4),5),6)+IF(入力!$B$2="男",0,6)+IF(AND(入力!$B$2&lt;&gt;"男",$D205*12&gt;=150),1,0)</f>
        <v>13</v>
      </c>
      <c r="AH205">
        <f t="shared" si="27"/>
        <v>20.952078694100006</v>
      </c>
      <c r="AI205">
        <f>IF(($D205*12)&lt;90,2,3)+IF(入力!$B$2="男",0,3)</f>
        <v>6</v>
      </c>
      <c r="AJ205">
        <f t="shared" si="28"/>
        <v>0.1266916702430998</v>
      </c>
      <c r="AK205">
        <f t="shared" si="25"/>
        <v>17.104400127837504</v>
      </c>
      <c r="AL205">
        <f t="shared" si="24"/>
        <v>18.126212402817405</v>
      </c>
      <c r="AM205">
        <f t="shared" si="24"/>
        <v>19.336053217696293</v>
      </c>
      <c r="AN205">
        <f t="shared" si="24"/>
        <v>20.952078694100006</v>
      </c>
      <c r="AO205">
        <f t="shared" si="24"/>
        <v>22.962857859572996</v>
      </c>
      <c r="AP205">
        <f t="shared" si="24"/>
        <v>25.258274496948584</v>
      </c>
      <c r="AQ205">
        <f t="shared" si="24"/>
        <v>28.200343501660086</v>
      </c>
    </row>
    <row r="206" spans="1:43" x14ac:dyDescent="0.15">
      <c r="A206">
        <f t="shared" si="23"/>
        <v>16</v>
      </c>
      <c r="B206" s="2">
        <v>10</v>
      </c>
      <c r="D206" s="3">
        <f t="shared" si="29"/>
        <v>16.833333333333332</v>
      </c>
      <c r="F206">
        <f>IF(入力!$B$2="男",成長曲線_男!E204,成長曲線_女!E204)</f>
        <v>157.80000000000001</v>
      </c>
      <c r="G206">
        <f>IF(入力!$B$2="男",成長曲線_男!F204,成長曲線_女!F204)</f>
        <v>5.2</v>
      </c>
      <c r="H206">
        <f>IF(入力!$B$2="男",成長曲線_男!G204,成長曲線_女!G204)</f>
        <v>168.20000000000002</v>
      </c>
      <c r="I206">
        <f>IF(入力!$B$2="男",成長曲線_男!H204,成長曲線_女!H204)</f>
        <v>163</v>
      </c>
      <c r="J206">
        <f>IF(入力!$B$2="男",成長曲線_男!I204,成長曲線_女!I204)</f>
        <v>152.60000000000002</v>
      </c>
      <c r="K206">
        <f>IF(入力!$B$2="男",成長曲線_男!J204,成長曲線_女!J204)</f>
        <v>147.4</v>
      </c>
      <c r="L206">
        <f>IF(入力!$B$2="男",成長曲線_男!K204,成長曲線_女!K204)</f>
        <v>144.80000000000001</v>
      </c>
      <c r="M206">
        <f>IF(入力!$B$2="男",成長曲線_男!L204,成長曲線_女!L204)</f>
        <v>142.20000000000002</v>
      </c>
      <c r="O206">
        <f>IF(入力!$B$2="男",成長曲線_男!N204,成長曲線_女!N204)</f>
        <v>53</v>
      </c>
      <c r="P206">
        <f>IF(入力!$B$2="男",成長曲線_男!O204,成長曲線_女!O204)</f>
        <v>7.84</v>
      </c>
      <c r="Q206">
        <f>IF(入力!$B$2="男",成長曲線_男!P204,成長曲線_女!P204)</f>
        <v>68.680000000000007</v>
      </c>
      <c r="R206">
        <f>IF(入力!$B$2="男",成長曲線_男!Q204,成長曲線_女!Q204)</f>
        <v>60.84</v>
      </c>
      <c r="S206">
        <f>IF(入力!$B$2="男",成長曲線_男!R204,成長曲線_女!R204)</f>
        <v>45.16</v>
      </c>
      <c r="T206">
        <f>IF(入力!$B$2="男",成長曲線_男!S204,成長曲線_女!S204)</f>
        <v>37.32</v>
      </c>
      <c r="AE206">
        <f>IF($D206*12&lt;150,IF($D206*12&lt;IF(入力!$B$2="男",78,69),2,3),4)+IF(入力!$B$2="男",0,4)</f>
        <v>8</v>
      </c>
      <c r="AF206">
        <f t="shared" si="26"/>
        <v>-1.5464250294399946</v>
      </c>
      <c r="AG206">
        <f>IF($D206*12&lt;90,IF($D206*12&lt;26.75,IF($D206*12&lt;9.5,IF($D206*12&lt;2.5,2,3),4),5),6)+IF(入力!$B$2="男",0,6)+IF(AND(入力!$B$2&lt;&gt;"男",$D206*12&gt;=150),1,0)</f>
        <v>13</v>
      </c>
      <c r="AH206">
        <f t="shared" si="27"/>
        <v>20.955610012800005</v>
      </c>
      <c r="AI206">
        <f>IF(($D206*12)&lt;90,2,3)+IF(入力!$B$2="男",0,3)</f>
        <v>6</v>
      </c>
      <c r="AJ206">
        <f t="shared" si="28"/>
        <v>0.12631595630479986</v>
      </c>
      <c r="AK206">
        <f t="shared" si="25"/>
        <v>17.116893883650125</v>
      </c>
      <c r="AL206">
        <f t="shared" si="24"/>
        <v>18.136677053556543</v>
      </c>
      <c r="AM206">
        <f t="shared" si="24"/>
        <v>19.343787265813557</v>
      </c>
      <c r="AN206">
        <f t="shared" si="24"/>
        <v>20.955610012800005</v>
      </c>
      <c r="AO206">
        <f t="shared" si="24"/>
        <v>22.960269481137306</v>
      </c>
      <c r="AP206">
        <f t="shared" si="24"/>
        <v>25.247483609712155</v>
      </c>
      <c r="AQ206">
        <f t="shared" si="24"/>
        <v>28.177117423421318</v>
      </c>
    </row>
    <row r="207" spans="1:43" x14ac:dyDescent="0.15">
      <c r="A207">
        <f t="shared" si="23"/>
        <v>16</v>
      </c>
      <c r="B207" s="2">
        <v>11</v>
      </c>
      <c r="D207" s="3">
        <f t="shared" si="29"/>
        <v>16.916666666666668</v>
      </c>
      <c r="F207">
        <f>IF(入力!$B$2="男",成長曲線_男!E205,成長曲線_女!E205)</f>
        <v>157.9</v>
      </c>
      <c r="G207">
        <f>IF(入力!$B$2="男",成長曲線_男!F205,成長曲線_女!F205)</f>
        <v>5.2</v>
      </c>
      <c r="H207">
        <f>IF(入力!$B$2="男",成長曲線_男!G205,成長曲線_女!G205)</f>
        <v>168.3</v>
      </c>
      <c r="I207">
        <f>IF(入力!$B$2="男",成長曲線_男!H205,成長曲線_女!H205)</f>
        <v>163.1</v>
      </c>
      <c r="J207">
        <f>IF(入力!$B$2="男",成長曲線_男!I205,成長曲線_女!I205)</f>
        <v>152.70000000000002</v>
      </c>
      <c r="K207">
        <f>IF(入力!$B$2="男",成長曲線_男!J205,成長曲線_女!J205)</f>
        <v>147.5</v>
      </c>
      <c r="L207">
        <f>IF(入力!$B$2="男",成長曲線_男!K205,成長曲線_女!K205)</f>
        <v>144.9</v>
      </c>
      <c r="M207">
        <f>IF(入力!$B$2="男",成長曲線_男!L205,成長曲線_女!L205)</f>
        <v>142.30000000000001</v>
      </c>
      <c r="O207">
        <f>IF(入力!$B$2="男",成長曲線_男!N205,成長曲線_女!N205)</f>
        <v>53</v>
      </c>
      <c r="P207">
        <f>IF(入力!$B$2="男",成長曲線_男!O205,成長曲線_女!O205)</f>
        <v>7.84</v>
      </c>
      <c r="Q207">
        <f>IF(入力!$B$2="男",成長曲線_男!P205,成長曲線_女!P205)</f>
        <v>68.680000000000007</v>
      </c>
      <c r="R207">
        <f>IF(入力!$B$2="男",成長曲線_男!Q205,成長曲線_女!Q205)</f>
        <v>60.84</v>
      </c>
      <c r="S207">
        <f>IF(入力!$B$2="男",成長曲線_男!R205,成長曲線_女!R205)</f>
        <v>45.16</v>
      </c>
      <c r="T207">
        <f>IF(入力!$B$2="男",成長曲線_男!S205,成長曲線_女!S205)</f>
        <v>37.32</v>
      </c>
      <c r="AE207">
        <f>IF($D207*12&lt;150,IF($D207*12&lt;IF(入力!$B$2="男",78,69),2,3),4)+IF(入力!$B$2="男",0,4)</f>
        <v>8</v>
      </c>
      <c r="AF207">
        <f t="shared" si="26"/>
        <v>-1.5482177563600104</v>
      </c>
      <c r="AG207">
        <f>IF($D207*12&lt;90,IF($D207*12&lt;26.75,IF($D207*12&lt;9.5,IF($D207*12&lt;2.5,2,3),4),5),6)+IF(入力!$B$2="男",0,6)+IF(AND(入力!$B$2&lt;&gt;"男",$D207*12&gt;=150),1,0)</f>
        <v>13</v>
      </c>
      <c r="AH207">
        <f t="shared" si="27"/>
        <v>20.957388628700006</v>
      </c>
      <c r="AI207">
        <f>IF(($D207*12)&lt;90,2,3)+IF(入力!$B$2="男",0,3)</f>
        <v>6</v>
      </c>
      <c r="AJ207">
        <f t="shared" si="28"/>
        <v>0.12593709568369993</v>
      </c>
      <c r="AK207">
        <f t="shared" si="25"/>
        <v>17.127838045258947</v>
      </c>
      <c r="AL207">
        <f t="shared" si="24"/>
        <v>18.145577174571738</v>
      </c>
      <c r="AM207">
        <f t="shared" si="24"/>
        <v>19.349904378804986</v>
      </c>
      <c r="AN207">
        <f t="shared" si="24"/>
        <v>20.957388628700006</v>
      </c>
      <c r="AO207">
        <f t="shared" si="24"/>
        <v>22.955641615579111</v>
      </c>
      <c r="AP207">
        <f t="shared" si="24"/>
        <v>25.23414702159797</v>
      </c>
      <c r="AQ207">
        <f t="shared" si="24"/>
        <v>28.150385813949665</v>
      </c>
    </row>
    <row r="208" spans="1:43" x14ac:dyDescent="0.15">
      <c r="A208">
        <f t="shared" si="23"/>
        <v>17</v>
      </c>
      <c r="B208" s="2">
        <v>0</v>
      </c>
      <c r="D208" s="3">
        <f t="shared" si="29"/>
        <v>17</v>
      </c>
      <c r="F208">
        <f>IF(入力!$B$2="男",成長曲線_男!E206,成長曲線_女!E206)</f>
        <v>157.9</v>
      </c>
      <c r="G208">
        <f>IF(入力!$B$2="男",成長曲線_男!F206,成長曲線_女!F206)</f>
        <v>5.2</v>
      </c>
      <c r="H208">
        <f>IF(入力!$B$2="男",成長曲線_男!G206,成長曲線_女!G206)</f>
        <v>168.3</v>
      </c>
      <c r="I208">
        <f>IF(入力!$B$2="男",成長曲線_男!H206,成長曲線_女!H206)</f>
        <v>163.1</v>
      </c>
      <c r="J208">
        <f>IF(入力!$B$2="男",成長曲線_男!I206,成長曲線_女!I206)</f>
        <v>152.70000000000002</v>
      </c>
      <c r="K208">
        <f>IF(入力!$B$2="男",成長曲線_男!J206,成長曲線_女!J206)</f>
        <v>147.5</v>
      </c>
      <c r="L208">
        <f>IF(入力!$B$2="男",成長曲線_男!K206,成長曲線_女!K206)</f>
        <v>144.9</v>
      </c>
      <c r="M208">
        <f>IF(入力!$B$2="男",成長曲線_男!L206,成長曲線_女!L206)</f>
        <v>142.30000000000001</v>
      </c>
      <c r="O208">
        <f>IF(入力!$B$2="男",成長曲線_男!N206,成長曲線_女!N206)</f>
        <v>53.1</v>
      </c>
      <c r="P208">
        <f>IF(入力!$B$2="男",成長曲線_男!O206,成長曲線_女!O206)</f>
        <v>7.85</v>
      </c>
      <c r="Q208">
        <f>IF(入力!$B$2="男",成長曲線_男!P206,成長曲線_女!P206)</f>
        <v>68.8</v>
      </c>
      <c r="R208">
        <f>IF(入力!$B$2="男",成長曲線_男!Q206,成長曲線_女!Q206)</f>
        <v>60.95</v>
      </c>
      <c r="S208">
        <f>IF(入力!$B$2="男",成長曲線_男!R206,成長曲線_女!R206)</f>
        <v>45.25</v>
      </c>
      <c r="T208">
        <f>IF(入力!$B$2="男",成長曲線_男!S206,成長曲線_女!S206)</f>
        <v>37.400000000000006</v>
      </c>
      <c r="AE208">
        <f>IF($D208*12&lt;150,IF($D208*12&lt;IF(入力!$B$2="男",78,69),2,3),4)+IF(入力!$B$2="男",0,4)</f>
        <v>8</v>
      </c>
      <c r="AF208">
        <f t="shared" si="26"/>
        <v>-1.5493459235200149</v>
      </c>
      <c r="AG208">
        <f>IF($D208*12&lt;90,IF($D208*12&lt;26.75,IF($D208*12&lt;9.5,IF($D208*12&lt;2.5,2,3),4),5),6)+IF(入力!$B$2="男",0,6)+IF(AND(入力!$B$2&lt;&gt;"男",$D208*12&gt;=150),1,0)</f>
        <v>13</v>
      </c>
      <c r="AH208">
        <f t="shared" si="27"/>
        <v>20.957399500400005</v>
      </c>
      <c r="AI208">
        <f>IF(($D208*12)&lt;90,2,3)+IF(入力!$B$2="男",0,3)</f>
        <v>6</v>
      </c>
      <c r="AJ208">
        <f t="shared" si="28"/>
        <v>0.12555521487839993</v>
      </c>
      <c r="AK208">
        <f t="shared" si="25"/>
        <v>17.137207856130296</v>
      </c>
      <c r="AL208">
        <f t="shared" si="24"/>
        <v>18.152891716327343</v>
      </c>
      <c r="AM208">
        <f t="shared" si="24"/>
        <v>19.354386843728086</v>
      </c>
      <c r="AN208">
        <f t="shared" si="24"/>
        <v>20.957399500400005</v>
      </c>
      <c r="AO208">
        <f t="shared" si="24"/>
        <v>22.948959814257147</v>
      </c>
      <c r="AP208">
        <f t="shared" si="24"/>
        <v>25.218247693391248</v>
      </c>
      <c r="AQ208">
        <f t="shared" si="24"/>
        <v>28.120124555479673</v>
      </c>
    </row>
    <row r="209" spans="1:43" x14ac:dyDescent="0.15">
      <c r="A209">
        <f t="shared" si="23"/>
        <v>17</v>
      </c>
      <c r="B209" s="2">
        <v>1</v>
      </c>
      <c r="D209" s="3">
        <f t="shared" si="29"/>
        <v>17.083333333333332</v>
      </c>
      <c r="F209">
        <f>IF(入力!$B$2="男",成長曲線_男!E207,成長曲線_女!E207)</f>
        <v>157.9</v>
      </c>
      <c r="G209">
        <f>IF(入力!$B$2="男",成長曲線_男!F207,成長曲線_女!F207)</f>
        <v>5.2</v>
      </c>
      <c r="H209">
        <f>IF(入力!$B$2="男",成長曲線_男!G207,成長曲線_女!G207)</f>
        <v>168.3</v>
      </c>
      <c r="I209">
        <f>IF(入力!$B$2="男",成長曲線_男!H207,成長曲線_女!H207)</f>
        <v>163.1</v>
      </c>
      <c r="J209">
        <f>IF(入力!$B$2="男",成長曲線_男!I207,成長曲線_女!I207)</f>
        <v>152.70000000000002</v>
      </c>
      <c r="K209">
        <f>IF(入力!$B$2="男",成長曲線_男!J207,成長曲線_女!J207)</f>
        <v>147.5</v>
      </c>
      <c r="L209">
        <f>IF(入力!$B$2="男",成長曲線_男!K207,成長曲線_女!K207)</f>
        <v>144.9</v>
      </c>
      <c r="M209">
        <f>IF(入力!$B$2="男",成長曲線_男!L207,成長曲線_女!L207)</f>
        <v>142.30000000000001</v>
      </c>
      <c r="O209">
        <f>IF(入力!$B$2="男",成長曲線_男!N207,成長曲線_女!N207)</f>
        <v>53.1</v>
      </c>
      <c r="P209">
        <f>IF(入力!$B$2="男",成長曲線_男!O207,成長曲線_女!O207)</f>
        <v>7.86</v>
      </c>
      <c r="Q209">
        <f>IF(入力!$B$2="男",成長曲線_男!P207,成長曲線_女!P207)</f>
        <v>68.820000000000007</v>
      </c>
      <c r="R209">
        <f>IF(入力!$B$2="男",成長曲線_男!Q207,成長曲線_女!Q207)</f>
        <v>60.96</v>
      </c>
      <c r="S209">
        <f>IF(入力!$B$2="男",成長曲線_男!R207,成長曲線_女!R207)</f>
        <v>45.24</v>
      </c>
      <c r="T209">
        <f>IF(入力!$B$2="男",成長曲線_男!S207,成長曲線_女!S207)</f>
        <v>37.380000000000003</v>
      </c>
      <c r="AE209">
        <f>IF($D209*12&lt;150,IF($D209*12&lt;IF(入力!$B$2="男",78,69),2,3),4)+IF(入力!$B$2="男",0,4)</f>
        <v>8</v>
      </c>
      <c r="AF209">
        <f t="shared" si="26"/>
        <v>-1.5497770450000061</v>
      </c>
      <c r="AG209">
        <f>IF($D209*12&lt;90,IF($D209*12&lt;26.75,IF($D209*12&lt;9.5,IF($D209*12&lt;2.5,2,3),4),5),6)+IF(入力!$B$2="男",0,6)+IF(AND(入力!$B$2&lt;&gt;"男",$D209*12&gt;=150),1,0)</f>
        <v>13</v>
      </c>
      <c r="AH209">
        <f t="shared" si="27"/>
        <v>20.955627586500004</v>
      </c>
      <c r="AI209">
        <f>IF(($D209*12)&lt;90,2,3)+IF(入力!$B$2="男",0,3)</f>
        <v>6</v>
      </c>
      <c r="AJ209">
        <f t="shared" si="28"/>
        <v>0.12517044038749991</v>
      </c>
      <c r="AK209">
        <f t="shared" si="25"/>
        <v>17.144978725227965</v>
      </c>
      <c r="AL209">
        <f t="shared" si="24"/>
        <v>18.158599726887953</v>
      </c>
      <c r="AM209">
        <f t="shared" si="24"/>
        <v>19.357216975168196</v>
      </c>
      <c r="AN209">
        <f t="shared" si="24"/>
        <v>20.955627586500004</v>
      </c>
      <c r="AO209">
        <f t="shared" si="24"/>
        <v>22.940209819065995</v>
      </c>
      <c r="AP209">
        <f t="shared" si="24"/>
        <v>25.199769537248542</v>
      </c>
      <c r="AQ209">
        <f t="shared" si="24"/>
        <v>28.086312846859336</v>
      </c>
    </row>
    <row r="210" spans="1:43" x14ac:dyDescent="0.15">
      <c r="A210">
        <f t="shared" si="23"/>
        <v>17</v>
      </c>
      <c r="B210" s="2">
        <v>2</v>
      </c>
      <c r="D210" s="3">
        <f t="shared" si="29"/>
        <v>17.166666666666668</v>
      </c>
      <c r="F210">
        <f>IF(入力!$B$2="男",成長曲線_男!E208,成長曲線_女!E208)</f>
        <v>158</v>
      </c>
      <c r="G210">
        <f>IF(入力!$B$2="男",成長曲線_男!F208,成長曲線_女!F208)</f>
        <v>5.2</v>
      </c>
      <c r="H210">
        <f>IF(入力!$B$2="男",成長曲線_男!G208,成長曲線_女!G208)</f>
        <v>168.4</v>
      </c>
      <c r="I210">
        <f>IF(入力!$B$2="男",成長曲線_男!H208,成長曲線_女!H208)</f>
        <v>163.19999999999999</v>
      </c>
      <c r="J210">
        <f>IF(入力!$B$2="男",成長曲線_男!I208,成長曲線_女!I208)</f>
        <v>152.80000000000001</v>
      </c>
      <c r="K210">
        <f>IF(入力!$B$2="男",成長曲線_男!J208,成長曲線_女!J208)</f>
        <v>147.6</v>
      </c>
      <c r="L210">
        <f>IF(入力!$B$2="男",成長曲線_男!K208,成長曲線_女!K208)</f>
        <v>145</v>
      </c>
      <c r="M210">
        <f>IF(入力!$B$2="男",成長曲線_男!L208,成長曲線_女!L208)</f>
        <v>142.4</v>
      </c>
      <c r="O210">
        <f>IF(入力!$B$2="男",成長曲線_男!N208,成長曲線_女!N208)</f>
        <v>53.1</v>
      </c>
      <c r="P210">
        <f>IF(入力!$B$2="男",成長曲線_男!O208,成長曲線_女!O208)</f>
        <v>7.86</v>
      </c>
      <c r="Q210">
        <f>IF(入力!$B$2="男",成長曲線_男!P208,成長曲線_女!P208)</f>
        <v>68.820000000000007</v>
      </c>
      <c r="R210">
        <f>IF(入力!$B$2="男",成長曲線_男!Q208,成長曲線_女!Q208)</f>
        <v>60.96</v>
      </c>
      <c r="S210">
        <f>IF(入力!$B$2="男",成長曲線_男!R208,成長曲線_女!R208)</f>
        <v>45.24</v>
      </c>
      <c r="T210">
        <f>IF(入力!$B$2="男",成長曲線_男!S208,成長曲線_女!S208)</f>
        <v>37.380000000000003</v>
      </c>
      <c r="AE210">
        <f>IF($D210*12&lt;150,IF($D210*12&lt;IF(入力!$B$2="男",78,69),2,3),4)+IF(入力!$B$2="男",0,4)</f>
        <v>8</v>
      </c>
      <c r="AF210">
        <f t="shared" si="26"/>
        <v>-1.5494786348799963</v>
      </c>
      <c r="AG210">
        <f>IF($D210*12&lt;90,IF($D210*12&lt;26.75,IF($D210*12&lt;9.5,IF($D210*12&lt;2.5,2,3),4),5),6)+IF(入力!$B$2="男",0,6)+IF(AND(入力!$B$2&lt;&gt;"男",$D210*12&gt;=150),1,0)</f>
        <v>13</v>
      </c>
      <c r="AH210">
        <f t="shared" si="27"/>
        <v>20.952057845600006</v>
      </c>
      <c r="AI210">
        <f>IF(($D210*12)&lt;90,2,3)+IF(入力!$B$2="男",0,3)</f>
        <v>6</v>
      </c>
      <c r="AJ210">
        <f t="shared" si="28"/>
        <v>0.12478289870959991</v>
      </c>
      <c r="AK210">
        <f t="shared" si="25"/>
        <v>17.1511262236668</v>
      </c>
      <c r="AL210">
        <f t="shared" si="24"/>
        <v>18.162680351898093</v>
      </c>
      <c r="AM210">
        <f t="shared" si="24"/>
        <v>19.358377116229818</v>
      </c>
      <c r="AN210">
        <f t="shared" si="24"/>
        <v>20.952057845600006</v>
      </c>
      <c r="AO210">
        <f t="shared" si="24"/>
        <v>22.929377563542673</v>
      </c>
      <c r="AP210">
        <f t="shared" si="24"/>
        <v>25.178697432678074</v>
      </c>
      <c r="AQ210">
        <f t="shared" si="24"/>
        <v>28.048933276628635</v>
      </c>
    </row>
    <row r="211" spans="1:43" x14ac:dyDescent="0.15">
      <c r="A211">
        <f t="shared" si="23"/>
        <v>17</v>
      </c>
      <c r="B211" s="2">
        <v>3</v>
      </c>
      <c r="D211" s="3">
        <f t="shared" si="29"/>
        <v>17.25</v>
      </c>
      <c r="F211">
        <f>IF(入力!$B$2="男",成長曲線_男!E209,成長曲線_女!E209)</f>
        <v>158</v>
      </c>
      <c r="G211">
        <f>IF(入力!$B$2="男",成長曲線_男!F209,成長曲線_女!F209)</f>
        <v>5.2</v>
      </c>
      <c r="H211">
        <f>IF(入力!$B$2="男",成長曲線_男!G209,成長曲線_女!G209)</f>
        <v>168.4</v>
      </c>
      <c r="I211">
        <f>IF(入力!$B$2="男",成長曲線_男!H209,成長曲線_女!H209)</f>
        <v>163.19999999999999</v>
      </c>
      <c r="J211">
        <f>IF(入力!$B$2="男",成長曲線_男!I209,成長曲線_女!I209)</f>
        <v>152.80000000000001</v>
      </c>
      <c r="K211">
        <f>IF(入力!$B$2="男",成長曲線_男!J209,成長曲線_女!J209)</f>
        <v>147.6</v>
      </c>
      <c r="L211">
        <f>IF(入力!$B$2="男",成長曲線_男!K209,成長曲線_女!K209)</f>
        <v>145</v>
      </c>
      <c r="M211">
        <f>IF(入力!$B$2="男",成長曲線_男!L209,成長曲線_女!L209)</f>
        <v>142.4</v>
      </c>
      <c r="O211">
        <f>IF(入力!$B$2="男",成長曲線_男!N209,成長曲線_女!N209)</f>
        <v>53.1</v>
      </c>
      <c r="P211">
        <f>IF(入力!$B$2="男",成長曲線_男!O209,成長曲線_女!O209)</f>
        <v>7.87</v>
      </c>
      <c r="Q211">
        <f>IF(入力!$B$2="男",成長曲線_男!P209,成長曲線_女!P209)</f>
        <v>68.84</v>
      </c>
      <c r="R211">
        <f>IF(入力!$B$2="男",成長曲線_男!Q209,成長曲線_女!Q209)</f>
        <v>60.97</v>
      </c>
      <c r="S211">
        <f>IF(入力!$B$2="男",成長曲線_男!R209,成長曲線_女!R209)</f>
        <v>45.230000000000004</v>
      </c>
      <c r="T211">
        <f>IF(入力!$B$2="男",成長曲線_男!S209,成長曲線_女!S209)</f>
        <v>37.36</v>
      </c>
      <c r="AE211">
        <f>IF($D211*12&lt;150,IF($D211*12&lt;IF(入力!$B$2="男",78,69),2,3),4)+IF(入力!$B$2="男",0,4)</f>
        <v>8</v>
      </c>
      <c r="AF211">
        <f t="shared" si="26"/>
        <v>-1.5484182072399832</v>
      </c>
      <c r="AG211">
        <f>IF($D211*12&lt;90,IF($D211*12&lt;26.75,IF($D211*12&lt;9.5,IF($D211*12&lt;2.5,2,3),4),5),6)+IF(入力!$B$2="男",0,6)+IF(AND(入力!$B$2&lt;&gt;"男",$D211*12&gt;=150),1,0)</f>
        <v>13</v>
      </c>
      <c r="AH211">
        <f t="shared" si="27"/>
        <v>20.946675236300006</v>
      </c>
      <c r="AI211">
        <f>IF(($D211*12)&lt;90,2,3)+IF(入力!$B$2="男",0,3)</f>
        <v>6</v>
      </c>
      <c r="AJ211">
        <f t="shared" si="28"/>
        <v>0.12439271634329985</v>
      </c>
      <c r="AK211">
        <f t="shared" si="25"/>
        <v>17.155626080885796</v>
      </c>
      <c r="AL211">
        <f t="shared" si="24"/>
        <v>18.165112834317334</v>
      </c>
      <c r="AM211">
        <f t="shared" si="24"/>
        <v>19.357849639449579</v>
      </c>
      <c r="AN211">
        <f t="shared" si="24"/>
        <v>20.946675236300006</v>
      </c>
      <c r="AO211">
        <f t="shared" si="24"/>
        <v>22.916449173613547</v>
      </c>
      <c r="AP211">
        <f t="shared" si="24"/>
        <v>25.155017239799811</v>
      </c>
      <c r="AQ211">
        <f t="shared" si="24"/>
        <v>28.007971881708393</v>
      </c>
    </row>
    <row r="212" spans="1:43" x14ac:dyDescent="0.15">
      <c r="A212">
        <f t="shared" si="23"/>
        <v>17</v>
      </c>
      <c r="B212" s="2">
        <v>4</v>
      </c>
      <c r="D212" s="3">
        <f t="shared" si="29"/>
        <v>17.333333333333332</v>
      </c>
      <c r="F212">
        <f>IF(入力!$B$2="男",成長曲線_男!E210,成長曲線_女!E210)</f>
        <v>158</v>
      </c>
      <c r="G212">
        <f>IF(入力!$B$2="男",成長曲線_男!F210,成長曲線_女!F210)</f>
        <v>5.2</v>
      </c>
      <c r="H212">
        <f>IF(入力!$B$2="男",成長曲線_男!G210,成長曲線_女!G210)</f>
        <v>168.4</v>
      </c>
      <c r="I212">
        <f>IF(入力!$B$2="男",成長曲線_男!H210,成長曲線_女!H210)</f>
        <v>163.19999999999999</v>
      </c>
      <c r="J212">
        <f>IF(入力!$B$2="男",成長曲線_男!I210,成長曲線_女!I210)</f>
        <v>152.80000000000001</v>
      </c>
      <c r="K212">
        <f>IF(入力!$B$2="男",成長曲線_男!J210,成長曲線_女!J210)</f>
        <v>147.6</v>
      </c>
      <c r="L212">
        <f>IF(入力!$B$2="男",成長曲線_男!K210,成長曲線_女!K210)</f>
        <v>145</v>
      </c>
      <c r="M212">
        <f>IF(入力!$B$2="男",成長曲線_男!L210,成長曲線_女!L210)</f>
        <v>142.4</v>
      </c>
      <c r="O212">
        <f>IF(入力!$B$2="男",成長曲線_男!N210,成長曲線_女!N210)</f>
        <v>53.1</v>
      </c>
      <c r="P212">
        <f>IF(入力!$B$2="男",成長曲線_男!O210,成長曲線_女!O210)</f>
        <v>7.88</v>
      </c>
      <c r="Q212">
        <f>IF(入力!$B$2="男",成長曲線_男!P210,成長曲線_女!P210)</f>
        <v>68.86</v>
      </c>
      <c r="R212">
        <f>IF(入力!$B$2="男",成長曲線_男!Q210,成長曲線_女!Q210)</f>
        <v>60.980000000000004</v>
      </c>
      <c r="S212">
        <f>IF(入力!$B$2="男",成長曲線_男!R210,成長曲線_女!R210)</f>
        <v>45.22</v>
      </c>
      <c r="T212">
        <f>IF(入力!$B$2="男",成長曲線_男!S210,成長曲線_女!S210)</f>
        <v>37.340000000000003</v>
      </c>
      <c r="AE212">
        <f>IF($D212*12&lt;150,IF($D212*12&lt;IF(入力!$B$2="男",78,69),2,3),4)+IF(入力!$B$2="男",0,4)</f>
        <v>8</v>
      </c>
      <c r="AF212">
        <f t="shared" si="26"/>
        <v>-1.5465632761600077</v>
      </c>
      <c r="AG212">
        <f>IF($D212*12&lt;90,IF($D212*12&lt;26.75,IF($D212*12&lt;9.5,IF($D212*12&lt;2.5,2,3),4),5),6)+IF(入力!$B$2="男",0,6)+IF(AND(入力!$B$2&lt;&gt;"男",$D212*12&gt;=150),1,0)</f>
        <v>13</v>
      </c>
      <c r="AH212">
        <f t="shared" si="27"/>
        <v>20.939464717200003</v>
      </c>
      <c r="AI212">
        <f>IF(($D212*12)&lt;90,2,3)+IF(入力!$B$2="男",0,3)</f>
        <v>6</v>
      </c>
      <c r="AJ212">
        <f t="shared" si="28"/>
        <v>0.12400001978719977</v>
      </c>
      <c r="AK212">
        <f t="shared" si="25"/>
        <v>17.158454180362092</v>
      </c>
      <c r="AL212">
        <f t="shared" si="24"/>
        <v>18.165876513924758</v>
      </c>
      <c r="AM212">
        <f t="shared" si="24"/>
        <v>19.355616947635337</v>
      </c>
      <c r="AN212">
        <f t="shared" si="24"/>
        <v>20.939464717200003</v>
      </c>
      <c r="AO212">
        <f t="shared" si="24"/>
        <v>22.901410967973206</v>
      </c>
      <c r="AP212">
        <f t="shared" si="24"/>
        <v>25.128715809749309</v>
      </c>
      <c r="AQ212">
        <f t="shared" si="24"/>
        <v>27.963418190816054</v>
      </c>
    </row>
    <row r="213" spans="1:43" x14ac:dyDescent="0.15">
      <c r="A213">
        <f t="shared" si="23"/>
        <v>17</v>
      </c>
      <c r="B213" s="2">
        <v>5</v>
      </c>
      <c r="D213" s="3">
        <f t="shared" si="29"/>
        <v>17.416666666666668</v>
      </c>
      <c r="F213">
        <f>IF(入力!$B$2="男",成長曲線_男!E211,成長曲線_女!E211)</f>
        <v>158.1</v>
      </c>
      <c r="G213">
        <f>IF(入力!$B$2="男",成長曲線_男!F211,成長曲線_女!F211)</f>
        <v>5.2</v>
      </c>
      <c r="H213">
        <f>IF(入力!$B$2="男",成長曲線_男!G211,成長曲線_女!G211)</f>
        <v>168.5</v>
      </c>
      <c r="I213">
        <f>IF(入力!$B$2="男",成長曲線_男!H211,成長曲線_女!H211)</f>
        <v>163.29999999999998</v>
      </c>
      <c r="J213">
        <f>IF(入力!$B$2="男",成長曲線_男!I211,成長曲線_女!I211)</f>
        <v>152.9</v>
      </c>
      <c r="K213">
        <f>IF(入力!$B$2="男",成長曲線_男!J211,成長曲線_女!J211)</f>
        <v>147.69999999999999</v>
      </c>
      <c r="L213">
        <f>IF(入力!$B$2="男",成長曲線_男!K211,成長曲線_女!K211)</f>
        <v>145.1</v>
      </c>
      <c r="M213">
        <f>IF(入力!$B$2="男",成長曲線_男!L211,成長曲線_女!L211)</f>
        <v>142.5</v>
      </c>
      <c r="O213">
        <f>IF(入力!$B$2="男",成長曲線_男!N211,成長曲線_女!N211)</f>
        <v>53.1</v>
      </c>
      <c r="P213">
        <f>IF(入力!$B$2="男",成長曲線_男!O211,成長曲線_女!O211)</f>
        <v>7.88</v>
      </c>
      <c r="Q213">
        <f>IF(入力!$B$2="男",成長曲線_男!P211,成長曲線_女!P211)</f>
        <v>68.86</v>
      </c>
      <c r="R213">
        <f>IF(入力!$B$2="男",成長曲線_男!Q211,成長曲線_女!Q211)</f>
        <v>60.980000000000004</v>
      </c>
      <c r="S213">
        <f>IF(入力!$B$2="男",成長曲線_男!R211,成長曲線_女!R211)</f>
        <v>45.22</v>
      </c>
      <c r="T213">
        <f>IF(入力!$B$2="男",成長曲線_男!S211,成長曲線_女!S211)</f>
        <v>37.340000000000003</v>
      </c>
      <c r="AE213">
        <f>IF($D213*12&lt;150,IF($D213*12&lt;IF(入力!$B$2="男",78,69),2,3),4)+IF(入力!$B$2="男",0,4)</f>
        <v>8</v>
      </c>
      <c r="AF213">
        <f t="shared" si="26"/>
        <v>-1.5438813557200106</v>
      </c>
      <c r="AG213">
        <f>IF($D213*12&lt;90,IF($D213*12&lt;26.75,IF($D213*12&lt;9.5,IF($D213*12&lt;2.5,2,3),4),5),6)+IF(入力!$B$2="男",0,6)+IF(AND(入力!$B$2&lt;&gt;"男",$D213*12&gt;=150),1,0)</f>
        <v>13</v>
      </c>
      <c r="AH213">
        <f t="shared" si="27"/>
        <v>20.930411246900004</v>
      </c>
      <c r="AI213">
        <f>IF(($D213*12)&lt;90,2,3)+IF(入力!$B$2="男",0,3)</f>
        <v>6</v>
      </c>
      <c r="AJ213">
        <f t="shared" si="28"/>
        <v>0.12360493553989987</v>
      </c>
      <c r="AK213">
        <f t="shared" si="25"/>
        <v>17.159586554884811</v>
      </c>
      <c r="AL213">
        <f t="shared" si="24"/>
        <v>18.164950826606066</v>
      </c>
      <c r="AM213">
        <f t="shared" si="24"/>
        <v>19.351661474635549</v>
      </c>
      <c r="AN213">
        <f t="shared" si="24"/>
        <v>20.930411246900004</v>
      </c>
      <c r="AO213">
        <f t="shared" si="24"/>
        <v>22.884249458087982</v>
      </c>
      <c r="AP213">
        <f t="shared" si="24"/>
        <v>25.099780992104073</v>
      </c>
      <c r="AQ213">
        <f t="shared" si="24"/>
        <v>27.915265251851935</v>
      </c>
    </row>
    <row r="214" spans="1:43" x14ac:dyDescent="0.15">
      <c r="A214">
        <f t="shared" si="23"/>
        <v>17</v>
      </c>
      <c r="B214" s="2">
        <v>6</v>
      </c>
      <c r="D214" s="3">
        <f t="shared" si="29"/>
        <v>17.5</v>
      </c>
      <c r="F214">
        <f>IF(入力!$B$2="男",成長曲線_男!E212,成長曲線_女!E212)</f>
        <v>158.1</v>
      </c>
      <c r="G214">
        <f>IF(入力!$B$2="男",成長曲線_男!F212,成長曲線_女!F212)</f>
        <v>5.3</v>
      </c>
      <c r="H214">
        <f>IF(入力!$B$2="男",成長曲線_男!G212,成長曲線_女!G212)</f>
        <v>168.7</v>
      </c>
      <c r="I214">
        <f>IF(入力!$B$2="男",成長曲線_男!H212,成長曲線_女!H212)</f>
        <v>163.4</v>
      </c>
      <c r="J214">
        <f>IF(入力!$B$2="男",成長曲線_男!I212,成長曲線_女!I212)</f>
        <v>152.79999999999998</v>
      </c>
      <c r="K214">
        <f>IF(入力!$B$2="男",成長曲線_男!J212,成長曲線_女!J212)</f>
        <v>147.5</v>
      </c>
      <c r="L214">
        <f>IF(入力!$B$2="男",成長曲線_男!K212,成長曲線_女!K212)</f>
        <v>144.85</v>
      </c>
      <c r="M214">
        <f>IF(入力!$B$2="男",成長曲線_男!L212,成長曲線_女!L212)</f>
        <v>142.19999999999999</v>
      </c>
      <c r="O214">
        <f>IF(入力!$B$2="男",成長曲線_男!N212,成長曲線_女!N212)</f>
        <v>53.1</v>
      </c>
      <c r="P214">
        <f>IF(入力!$B$2="男",成長曲線_男!O212,成長曲線_女!O212)</f>
        <v>7.89</v>
      </c>
      <c r="Q214">
        <f>IF(入力!$B$2="男",成長曲線_男!P212,成長曲線_女!P212)</f>
        <v>68.88</v>
      </c>
      <c r="R214">
        <f>IF(入力!$B$2="男",成長曲線_男!Q212,成長曲線_女!Q212)</f>
        <v>60.99</v>
      </c>
      <c r="S214">
        <f>IF(入力!$B$2="男",成長曲線_男!R212,成長曲線_女!R212)</f>
        <v>45.21</v>
      </c>
      <c r="T214">
        <f>IF(入力!$B$2="男",成長曲線_男!S212,成長曲線_女!S212)</f>
        <v>37.32</v>
      </c>
      <c r="AE214">
        <f>IF($D214*12&lt;150,IF($D214*12&lt;IF(入力!$B$2="男",78,69),2,3),4)+IF(入力!$B$2="男",0,4)</f>
        <v>8</v>
      </c>
      <c r="AF214">
        <f t="shared" si="26"/>
        <v>-1.5403399600000043</v>
      </c>
      <c r="AG214">
        <f>IF($D214*12&lt;90,IF($D214*12&lt;26.75,IF($D214*12&lt;9.5,IF($D214*12&lt;2.5,2,3),4),5),6)+IF(入力!$B$2="男",0,6)+IF(AND(入力!$B$2&lt;&gt;"男",$D214*12&gt;=150),1,0)</f>
        <v>13</v>
      </c>
      <c r="AH214">
        <f t="shared" si="27"/>
        <v>20.919499784000006</v>
      </c>
      <c r="AI214">
        <f>IF(($D214*12)&lt;90,2,3)+IF(入力!$B$2="男",0,3)</f>
        <v>6</v>
      </c>
      <c r="AJ214">
        <f t="shared" si="28"/>
        <v>0.12320759009999993</v>
      </c>
      <c r="AK214">
        <f t="shared" si="25"/>
        <v>17.158999381405444</v>
      </c>
      <c r="AL214">
        <f t="shared" si="24"/>
        <v>18.162315303435868</v>
      </c>
      <c r="AM214">
        <f t="shared" si="24"/>
        <v>19.345965686043321</v>
      </c>
      <c r="AN214">
        <f t="shared" si="24"/>
        <v>20.919499784000006</v>
      </c>
      <c r="AO214">
        <f t="shared" si="24"/>
        <v>22.864951347817993</v>
      </c>
      <c r="AP214">
        <f t="shared" si="24"/>
        <v>25.068201639228427</v>
      </c>
      <c r="AQ214">
        <f t="shared" si="24"/>
        <v>27.863509642642562</v>
      </c>
    </row>
    <row r="216" spans="1:43" x14ac:dyDescent="0.15">
      <c r="A216">
        <v>11</v>
      </c>
      <c r="B216" s="2">
        <v>2</v>
      </c>
      <c r="T216" s="1" t="s">
        <v>3</v>
      </c>
      <c r="U216" s="1"/>
      <c r="V216">
        <f>IF(入力!$B$2="男",成長曲線_男!U214,成長曲線_女!U214)</f>
        <v>8.8333333333333339</v>
      </c>
      <c r="W216">
        <f>IF(入力!$B$2="男",成長曲線_男!V214,成長曲線_女!V214)</f>
        <v>8.6999999999999993</v>
      </c>
      <c r="X216">
        <f>IF(入力!$B$2="男",成長曲線_男!W214,成長曲線_女!W214)</f>
        <v>1.3</v>
      </c>
      <c r="Y216">
        <f>IF(入力!$B$2="男",成長曲線_男!X214,成長曲線_女!X214)</f>
        <v>11.299999999999999</v>
      </c>
      <c r="Z216">
        <f>IF(入力!$B$2="男",成長曲線_男!Y214,成長曲線_女!Y214)</f>
        <v>10</v>
      </c>
      <c r="AA216">
        <f>IF(入力!$B$2="男",成長曲線_男!Z214,成長曲線_女!Z214)</f>
        <v>7.3999999999999995</v>
      </c>
      <c r="AB216">
        <f>IF(入力!$B$2="男",成長曲線_男!AA214,成長曲線_女!AA214)</f>
        <v>6.1</v>
      </c>
    </row>
    <row r="217" spans="1:43" x14ac:dyDescent="0.15">
      <c r="A217">
        <v>12</v>
      </c>
      <c r="B217" s="2">
        <v>1</v>
      </c>
      <c r="T217" s="1" t="s">
        <v>171</v>
      </c>
      <c r="U217" s="1"/>
      <c r="V217">
        <f>IF(入力!$B$2="男",成長曲線_男!U215,成長曲線_女!U215)</f>
        <v>9.9166666666666661</v>
      </c>
      <c r="W217">
        <f>IF(入力!$B$2="男",成長曲線_男!V215,成長曲線_女!V215)</f>
        <v>8.6999999999999993</v>
      </c>
      <c r="X217">
        <f>IF(入力!$B$2="男",成長曲線_男!W215,成長曲線_女!W215)</f>
        <v>1.1000000000000001</v>
      </c>
      <c r="Y217">
        <f>IF(入力!$B$2="男",成長曲線_男!X215,成長曲線_女!X215)</f>
        <v>10.899999999999999</v>
      </c>
      <c r="Z217">
        <f>IF(入力!$B$2="男",成長曲線_男!Y215,成長曲線_女!Y215)</f>
        <v>9.7999999999999989</v>
      </c>
      <c r="AA217">
        <f>IF(入力!$B$2="男",成長曲線_男!Z215,成長曲線_女!Z215)</f>
        <v>7.6</v>
      </c>
      <c r="AB217">
        <f>IF(入力!$B$2="男",成長曲線_男!AA215,成長曲線_女!AA215)</f>
        <v>6.4999999999999991</v>
      </c>
    </row>
    <row r="218" spans="1:43" x14ac:dyDescent="0.15">
      <c r="A218">
        <v>13</v>
      </c>
      <c r="B218" s="2">
        <v>0</v>
      </c>
      <c r="T218" t="s">
        <v>172</v>
      </c>
      <c r="V218">
        <f>IF(入力!$B$2="男",成長曲線_男!U216,成長曲線_女!U216)</f>
        <v>11</v>
      </c>
      <c r="W218">
        <f>IF(入力!$B$2="男",成長曲線_男!V216,成長曲線_女!V216)</f>
        <v>8.3000000000000007</v>
      </c>
      <c r="X218">
        <f>IF(入力!$B$2="男",成長曲線_男!W216,成長曲線_女!W216)</f>
        <v>1</v>
      </c>
      <c r="Y218">
        <f>IF(入力!$B$2="男",成長曲線_男!X216,成長曲線_女!X216)</f>
        <v>10.3</v>
      </c>
      <c r="Z218">
        <f>IF(入力!$B$2="男",成長曲線_男!Y216,成長曲線_女!Y216)</f>
        <v>9.3000000000000007</v>
      </c>
      <c r="AA218">
        <f>IF(入力!$B$2="男",成長曲線_男!Z216,成長曲線_女!Z216)</f>
        <v>7.3000000000000007</v>
      </c>
      <c r="AB218">
        <f>IF(入力!$B$2="男",成長曲線_男!AA216,成長曲線_女!AA216)</f>
        <v>6.3000000000000007</v>
      </c>
    </row>
    <row r="219" spans="1:43" x14ac:dyDescent="0.15">
      <c r="A219">
        <v>13</v>
      </c>
      <c r="B219" s="2">
        <v>11</v>
      </c>
      <c r="T219" s="1" t="s">
        <v>0</v>
      </c>
      <c r="U219" s="1"/>
      <c r="V219">
        <f>IF(入力!$B$2="男",成長曲線_男!U217,成長曲線_女!U217)</f>
        <v>12.083333333333334</v>
      </c>
      <c r="W219">
        <f>IF(入力!$B$2="男",成長曲線_男!V217,成長曲線_女!V217)</f>
        <v>8.1</v>
      </c>
      <c r="X219">
        <f>IF(入力!$B$2="男",成長曲線_男!W217,成長曲線_女!W217)</f>
        <v>1.1000000000000001</v>
      </c>
      <c r="Y219">
        <f>IF(入力!$B$2="男",成長曲線_男!X217,成長曲線_女!X217)</f>
        <v>10.3</v>
      </c>
      <c r="Z219">
        <f>IF(入力!$B$2="男",成長曲線_男!Y217,成長曲線_女!Y217)</f>
        <v>9.1999999999999993</v>
      </c>
      <c r="AA219">
        <f>IF(入力!$B$2="男",成長曲線_男!Z217,成長曲線_女!Z217)</f>
        <v>7</v>
      </c>
      <c r="AB219">
        <f>IF(入力!$B$2="男",成長曲線_男!AA217,成長曲線_女!AA217)</f>
        <v>5.8999999999999995</v>
      </c>
    </row>
    <row r="220" spans="1:43" x14ac:dyDescent="0.15">
      <c r="A220">
        <v>14</v>
      </c>
      <c r="B220" s="2">
        <v>10</v>
      </c>
      <c r="T220" s="1" t="s">
        <v>2</v>
      </c>
      <c r="U220" s="1"/>
      <c r="V220">
        <f>IF(入力!$B$2="男",成長曲線_男!U218,成長曲線_女!U218)</f>
        <v>13.166666666666666</v>
      </c>
      <c r="W220">
        <f>IF(入力!$B$2="男",成長曲線_男!V218,成長曲線_女!V218)</f>
        <v>7.6</v>
      </c>
      <c r="X220">
        <f>IF(入力!$B$2="男",成長曲線_男!W218,成長曲線_女!W218)</f>
        <v>1.1000000000000001</v>
      </c>
      <c r="Y220">
        <f>IF(入力!$B$2="男",成長曲線_男!X218,成長曲線_女!X218)</f>
        <v>9.8000000000000007</v>
      </c>
      <c r="Z220">
        <f>IF(入力!$B$2="男",成長曲線_男!Y218,成長曲線_女!Y218)</f>
        <v>8.6999999999999993</v>
      </c>
      <c r="AA220">
        <f>IF(入力!$B$2="男",成長曲線_男!Z218,成長曲線_女!Z218)</f>
        <v>6.5</v>
      </c>
      <c r="AB220">
        <f>IF(入力!$B$2="男",成長曲線_男!AA218,成長曲線_女!AA218)</f>
        <v>5.3999999999999995</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H51" sqref="H51"/>
    </sheetView>
  </sheetViews>
  <sheetFormatPr baseColWidth="12" defaultColWidth="9" defaultRowHeight="14" x14ac:dyDescent="0.15"/>
  <cols>
    <col min="1" max="11" width="9" style="4"/>
    <col min="12" max="12" width="13.83203125" style="4" bestFit="1" customWidth="1"/>
    <col min="13" max="16384" width="9" style="4"/>
  </cols>
  <sheetData>
    <row r="1" spans="1:15" x14ac:dyDescent="0.15">
      <c r="A1" s="13" t="s">
        <v>34</v>
      </c>
      <c r="C1" s="4" t="s">
        <v>15</v>
      </c>
      <c r="G1" s="4" t="s">
        <v>16</v>
      </c>
    </row>
    <row r="2" spans="1:15" x14ac:dyDescent="0.15">
      <c r="A2" s="4" t="s">
        <v>31</v>
      </c>
      <c r="C2" s="4" t="s">
        <v>17</v>
      </c>
      <c r="G2" s="13">
        <v>1</v>
      </c>
      <c r="H2" s="13">
        <v>2</v>
      </c>
      <c r="I2" s="13">
        <v>3</v>
      </c>
      <c r="J2" s="13">
        <v>4</v>
      </c>
      <c r="K2" s="13">
        <v>5</v>
      </c>
      <c r="L2" s="13">
        <v>6</v>
      </c>
      <c r="M2" s="13">
        <v>7</v>
      </c>
      <c r="N2" s="13">
        <v>8</v>
      </c>
      <c r="O2" s="13">
        <v>9</v>
      </c>
    </row>
    <row r="3" spans="1:15" x14ac:dyDescent="0.15">
      <c r="C3" s="4" t="s">
        <v>24</v>
      </c>
      <c r="D3" s="4" t="s">
        <v>25</v>
      </c>
      <c r="F3" s="4">
        <v>1</v>
      </c>
      <c r="G3" s="15" t="s">
        <v>18</v>
      </c>
      <c r="H3" s="15" t="s">
        <v>30</v>
      </c>
      <c r="I3" s="15"/>
      <c r="J3" s="13" t="s">
        <v>170</v>
      </c>
      <c r="K3" s="13"/>
      <c r="L3" s="13" t="s">
        <v>7</v>
      </c>
      <c r="M3" s="13" t="s">
        <v>29</v>
      </c>
      <c r="N3" s="13" t="s">
        <v>8</v>
      </c>
      <c r="O3" s="13">
        <v>1</v>
      </c>
    </row>
    <row r="4" spans="1:15" x14ac:dyDescent="0.15">
      <c r="A4" s="4" t="s">
        <v>19</v>
      </c>
      <c r="B4" s="4">
        <v>5</v>
      </c>
      <c r="C4" s="12">
        <v>0.38600000000000001</v>
      </c>
      <c r="D4" s="12">
        <v>-23.699000000000002</v>
      </c>
      <c r="F4" s="4">
        <v>2</v>
      </c>
      <c r="G4" s="13" t="s">
        <v>20</v>
      </c>
      <c r="H4" s="13">
        <v>0</v>
      </c>
      <c r="I4" s="13">
        <v>6</v>
      </c>
      <c r="J4" s="13">
        <v>70</v>
      </c>
      <c r="K4" s="13">
        <v>120</v>
      </c>
      <c r="L4" s="13"/>
      <c r="M4" s="13">
        <f>2.06*10^-3</f>
        <v>2.0600000000000002E-3</v>
      </c>
      <c r="N4" s="13">
        <f>-0.1166</f>
        <v>-0.1166</v>
      </c>
      <c r="O4" s="13">
        <v>6.5273000000000003</v>
      </c>
    </row>
    <row r="5" spans="1:15" x14ac:dyDescent="0.15">
      <c r="B5" s="4">
        <v>6</v>
      </c>
      <c r="C5" s="12">
        <v>0.46100000000000002</v>
      </c>
      <c r="D5" s="12">
        <v>-32.381999999999998</v>
      </c>
      <c r="F5" s="4">
        <v>3</v>
      </c>
      <c r="G5" s="13" t="s">
        <v>21</v>
      </c>
      <c r="H5" s="13">
        <v>6</v>
      </c>
      <c r="I5" s="13">
        <v>18</v>
      </c>
      <c r="J5" s="13">
        <v>101</v>
      </c>
      <c r="K5" s="13">
        <v>140</v>
      </c>
      <c r="L5" s="13">
        <v>3.0388200000000002E-5</v>
      </c>
      <c r="M5" s="13">
        <v>-5.7149499999999999E-3</v>
      </c>
      <c r="N5" s="13">
        <v>0.50812400000000002</v>
      </c>
      <c r="O5" s="13">
        <v>-9.1779100000000007</v>
      </c>
    </row>
    <row r="6" spans="1:15" x14ac:dyDescent="0.15">
      <c r="B6" s="4">
        <v>7</v>
      </c>
      <c r="C6" s="12">
        <v>0.51300000000000001</v>
      </c>
      <c r="D6" s="12">
        <v>-38.878</v>
      </c>
      <c r="F6" s="4">
        <v>4</v>
      </c>
      <c r="G6" s="13"/>
      <c r="H6" s="13">
        <v>6</v>
      </c>
      <c r="I6" s="13">
        <v>18</v>
      </c>
      <c r="J6" s="13">
        <v>140</v>
      </c>
      <c r="K6" s="13">
        <v>149</v>
      </c>
      <c r="L6" s="13">
        <v>-8.5012999999999994E-5</v>
      </c>
      <c r="M6" s="13">
        <v>3.7069199999999997E-2</v>
      </c>
      <c r="N6" s="13">
        <v>-4.6558000000000002</v>
      </c>
      <c r="O6" s="13">
        <v>191.84700000000001</v>
      </c>
    </row>
    <row r="7" spans="1:15" x14ac:dyDescent="0.15">
      <c r="B7" s="4">
        <v>8</v>
      </c>
      <c r="C7" s="12">
        <v>0.59199999999999997</v>
      </c>
      <c r="D7" s="12">
        <v>-48.804000000000002</v>
      </c>
      <c r="F7" s="4">
        <v>5</v>
      </c>
      <c r="G7" s="13"/>
      <c r="H7" s="13">
        <v>6</v>
      </c>
      <c r="I7" s="13">
        <v>18</v>
      </c>
      <c r="J7" s="13">
        <v>149</v>
      </c>
      <c r="K7" s="13">
        <v>184</v>
      </c>
      <c r="L7" s="13">
        <v>-3.1020499999999998E-4</v>
      </c>
      <c r="M7" s="13">
        <v>0.15115899999999999</v>
      </c>
      <c r="N7" s="13">
        <v>-23.630299999999998</v>
      </c>
      <c r="O7" s="13">
        <v>1231.04</v>
      </c>
    </row>
    <row r="8" spans="1:15" x14ac:dyDescent="0.15">
      <c r="B8" s="4">
        <v>9</v>
      </c>
      <c r="C8" s="12">
        <v>0.68700000000000006</v>
      </c>
      <c r="D8" s="12">
        <v>-61.39</v>
      </c>
      <c r="F8" s="4">
        <v>6</v>
      </c>
      <c r="G8" s="13"/>
      <c r="H8" s="13"/>
      <c r="I8" s="13"/>
      <c r="J8" s="13"/>
      <c r="K8" s="13"/>
      <c r="L8" s="13"/>
      <c r="M8" s="13"/>
      <c r="N8" s="13"/>
      <c r="O8" s="13"/>
    </row>
    <row r="9" spans="1:15" x14ac:dyDescent="0.15">
      <c r="B9" s="4">
        <v>10</v>
      </c>
      <c r="C9" s="12">
        <v>0.752</v>
      </c>
      <c r="D9" s="12">
        <v>-70.460999999999999</v>
      </c>
      <c r="F9" s="4">
        <v>7</v>
      </c>
      <c r="G9" s="14" t="s">
        <v>22</v>
      </c>
      <c r="H9" s="14" t="s">
        <v>165</v>
      </c>
      <c r="I9" s="14"/>
      <c r="J9" s="13" t="s">
        <v>170</v>
      </c>
      <c r="K9" s="13"/>
      <c r="L9" s="13"/>
      <c r="M9" s="13"/>
      <c r="N9" s="13"/>
      <c r="O9" s="13"/>
    </row>
    <row r="10" spans="1:15" x14ac:dyDescent="0.15">
      <c r="B10" s="4">
        <v>11</v>
      </c>
      <c r="C10" s="12">
        <v>0.78200000000000003</v>
      </c>
      <c r="D10" s="12">
        <v>-75.105999999999995</v>
      </c>
      <c r="F10" s="4">
        <v>8</v>
      </c>
      <c r="G10" s="13" t="s">
        <v>20</v>
      </c>
      <c r="H10" s="13">
        <v>0</v>
      </c>
      <c r="I10" s="13">
        <v>6</v>
      </c>
      <c r="J10" s="13">
        <v>70</v>
      </c>
      <c r="K10" s="13">
        <v>120</v>
      </c>
      <c r="L10" s="13"/>
      <c r="M10" s="13">
        <f>2.49*10^-3</f>
        <v>2.4900000000000005E-3</v>
      </c>
      <c r="N10" s="13">
        <f>-0.1858</f>
        <v>-0.18579999999999999</v>
      </c>
      <c r="O10" s="13">
        <v>9.0359999999999996</v>
      </c>
    </row>
    <row r="11" spans="1:15" x14ac:dyDescent="0.15">
      <c r="B11" s="4">
        <v>12</v>
      </c>
      <c r="C11" s="12">
        <v>0.78300000000000003</v>
      </c>
      <c r="D11" s="12">
        <v>-75.641999999999996</v>
      </c>
      <c r="F11" s="4">
        <v>9</v>
      </c>
      <c r="G11" s="13" t="s">
        <v>21</v>
      </c>
      <c r="H11" s="13">
        <v>6</v>
      </c>
      <c r="I11" s="13">
        <v>18</v>
      </c>
      <c r="J11" s="13">
        <v>101</v>
      </c>
      <c r="K11" s="13">
        <v>140</v>
      </c>
      <c r="L11" s="13">
        <v>1.2771899999999999E-4</v>
      </c>
      <c r="M11" s="13">
        <v>-4.14712E-2</v>
      </c>
      <c r="N11" s="13">
        <v>4.8574999999999999</v>
      </c>
      <c r="O11" s="13">
        <v>-184.49199999999999</v>
      </c>
    </row>
    <row r="12" spans="1:15" x14ac:dyDescent="0.15">
      <c r="B12" s="4">
        <v>13</v>
      </c>
      <c r="C12" s="12">
        <v>0.81499999999999995</v>
      </c>
      <c r="D12" s="12">
        <v>-81.347999999999999</v>
      </c>
      <c r="F12" s="4">
        <v>10</v>
      </c>
      <c r="G12" s="13"/>
      <c r="H12" s="13">
        <v>6</v>
      </c>
      <c r="I12" s="13">
        <v>18</v>
      </c>
      <c r="J12" s="13">
        <v>140</v>
      </c>
      <c r="K12" s="13">
        <v>149</v>
      </c>
      <c r="L12" s="13">
        <v>-1.7876599999999999E-3</v>
      </c>
      <c r="M12" s="13">
        <v>0.80392200000000003</v>
      </c>
      <c r="N12" s="13">
        <v>-119.31</v>
      </c>
      <c r="O12" s="13">
        <v>5885.03</v>
      </c>
    </row>
    <row r="13" spans="1:15" x14ac:dyDescent="0.15">
      <c r="B13" s="4">
        <v>14</v>
      </c>
      <c r="C13" s="12">
        <v>0.83199999999999996</v>
      </c>
      <c r="D13" s="12">
        <v>-83.694999999999993</v>
      </c>
      <c r="F13" s="4">
        <v>11</v>
      </c>
      <c r="G13" s="13"/>
      <c r="H13" s="13">
        <v>6</v>
      </c>
      <c r="I13" s="13">
        <v>18</v>
      </c>
      <c r="J13" s="13">
        <v>149</v>
      </c>
      <c r="K13" s="13">
        <v>171</v>
      </c>
      <c r="L13" s="13">
        <v>9.5640099999999995E-4</v>
      </c>
      <c r="M13" s="13">
        <v>-0.46275500000000003</v>
      </c>
      <c r="N13" s="13">
        <v>75.305800000000005</v>
      </c>
      <c r="O13" s="13">
        <v>-4068.31</v>
      </c>
    </row>
    <row r="14" spans="1:15" x14ac:dyDescent="0.15">
      <c r="B14" s="4">
        <v>15</v>
      </c>
      <c r="C14" s="12">
        <v>0.76600000000000001</v>
      </c>
      <c r="D14" s="12">
        <v>-70.989000000000004</v>
      </c>
      <c r="G14" s="13"/>
      <c r="H14" s="13"/>
      <c r="I14" s="13"/>
      <c r="J14" s="13"/>
      <c r="K14" s="13"/>
      <c r="L14" s="13"/>
      <c r="M14" s="13"/>
      <c r="N14" s="13"/>
      <c r="O14" s="13"/>
    </row>
    <row r="15" spans="1:15" x14ac:dyDescent="0.15">
      <c r="B15" s="4">
        <v>16</v>
      </c>
      <c r="C15" s="12">
        <v>0.65600000000000003</v>
      </c>
      <c r="D15" s="12">
        <v>-51.822000000000003</v>
      </c>
      <c r="G15" s="13"/>
      <c r="H15" s="13"/>
      <c r="I15" s="13"/>
      <c r="J15" s="13"/>
      <c r="K15" s="13"/>
      <c r="L15" s="13"/>
      <c r="M15" s="13"/>
      <c r="N15" s="13"/>
      <c r="O15" s="13"/>
    </row>
    <row r="16" spans="1:15" x14ac:dyDescent="0.15">
      <c r="B16" s="4">
        <v>17</v>
      </c>
      <c r="C16" s="12">
        <v>0.67200000000000004</v>
      </c>
      <c r="D16" s="12">
        <v>-53.642000000000003</v>
      </c>
      <c r="G16" s="13"/>
      <c r="H16" s="13"/>
      <c r="I16" s="13"/>
      <c r="J16" s="13"/>
      <c r="K16" s="13"/>
      <c r="L16" s="13"/>
      <c r="M16" s="13"/>
      <c r="N16" s="13"/>
      <c r="O16" s="13"/>
    </row>
    <row r="17" spans="1:15" x14ac:dyDescent="0.15">
      <c r="C17" s="12"/>
      <c r="D17" s="12"/>
      <c r="G17" s="13"/>
      <c r="H17" s="13"/>
      <c r="I17" s="13"/>
      <c r="J17" s="13"/>
      <c r="K17" s="13"/>
      <c r="L17" s="13"/>
      <c r="M17" s="13"/>
      <c r="N17" s="13"/>
      <c r="O17" s="13"/>
    </row>
    <row r="18" spans="1:15" x14ac:dyDescent="0.15">
      <c r="A18" s="4" t="s">
        <v>23</v>
      </c>
      <c r="B18" s="4">
        <v>5</v>
      </c>
      <c r="C18" s="12">
        <v>0.377</v>
      </c>
      <c r="D18" s="12">
        <v>-22.75</v>
      </c>
    </row>
    <row r="19" spans="1:15" x14ac:dyDescent="0.15">
      <c r="B19" s="4">
        <v>6</v>
      </c>
      <c r="C19" s="12">
        <v>0.45800000000000002</v>
      </c>
      <c r="D19" s="12">
        <v>-32.079000000000001</v>
      </c>
    </row>
    <row r="20" spans="1:15" x14ac:dyDescent="0.15">
      <c r="B20" s="4">
        <v>7</v>
      </c>
      <c r="C20" s="12">
        <v>0.50800000000000001</v>
      </c>
      <c r="D20" s="12">
        <v>-38.366999999999997</v>
      </c>
    </row>
    <row r="21" spans="1:15" x14ac:dyDescent="0.15">
      <c r="B21" s="4">
        <v>8</v>
      </c>
      <c r="C21" s="12">
        <v>0.56100000000000005</v>
      </c>
      <c r="D21" s="12">
        <v>-45.006</v>
      </c>
    </row>
    <row r="22" spans="1:15" x14ac:dyDescent="0.15">
      <c r="B22" s="4">
        <v>9</v>
      </c>
      <c r="C22" s="12">
        <v>0.65200000000000002</v>
      </c>
      <c r="D22" s="12">
        <v>-56.991999999999997</v>
      </c>
    </row>
    <row r="23" spans="1:15" x14ac:dyDescent="0.15">
      <c r="B23" s="4">
        <v>10</v>
      </c>
      <c r="C23" s="12">
        <v>0.73</v>
      </c>
      <c r="D23" s="12">
        <v>-68.090999999999994</v>
      </c>
    </row>
    <row r="24" spans="1:15" x14ac:dyDescent="0.15">
      <c r="B24" s="4">
        <v>11</v>
      </c>
      <c r="C24" s="12">
        <v>0.80300000000000005</v>
      </c>
      <c r="D24" s="12">
        <v>-78.846000000000004</v>
      </c>
    </row>
    <row r="25" spans="1:15" x14ac:dyDescent="0.15">
      <c r="B25" s="4">
        <v>12</v>
      </c>
      <c r="C25" s="12">
        <v>0.79600000000000004</v>
      </c>
      <c r="D25" s="12">
        <v>-76.933999999999997</v>
      </c>
    </row>
    <row r="26" spans="1:15" x14ac:dyDescent="0.15">
      <c r="B26" s="4">
        <v>13</v>
      </c>
      <c r="C26" s="12">
        <v>0.65500000000000003</v>
      </c>
      <c r="D26" s="12">
        <v>-54.234000000000002</v>
      </c>
    </row>
    <row r="27" spans="1:15" x14ac:dyDescent="0.15">
      <c r="B27" s="4">
        <v>14</v>
      </c>
      <c r="C27" s="12">
        <v>0.59399999999999997</v>
      </c>
      <c r="D27" s="12">
        <v>-43.264000000000003</v>
      </c>
    </row>
    <row r="28" spans="1:15" x14ac:dyDescent="0.15">
      <c r="B28" s="4">
        <v>15</v>
      </c>
      <c r="C28" s="12">
        <v>0.56000000000000005</v>
      </c>
      <c r="D28" s="12">
        <v>-37.002000000000002</v>
      </c>
    </row>
    <row r="29" spans="1:15" x14ac:dyDescent="0.15">
      <c r="B29" s="4">
        <v>16</v>
      </c>
      <c r="C29" s="12">
        <v>0.57799999999999996</v>
      </c>
      <c r="D29" s="12">
        <v>-39.057000000000002</v>
      </c>
    </row>
    <row r="30" spans="1:15" x14ac:dyDescent="0.15">
      <c r="B30" s="4">
        <v>17</v>
      </c>
      <c r="C30" s="12">
        <v>0.59799999999999998</v>
      </c>
      <c r="D30" s="12">
        <v>-42.338999999999999</v>
      </c>
    </row>
  </sheetData>
  <sheetProtection sheet="1" objects="1" scenarios="1"/>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19</vt:i4>
      </vt:variant>
    </vt:vector>
  </HeadingPairs>
  <TitlesOfParts>
    <vt:vector size="19" baseType="lpstr">
      <vt:lpstr>入力</vt:lpstr>
      <vt:lpstr>成長曲線</vt:lpstr>
      <vt:lpstr>成長速度</vt:lpstr>
      <vt:lpstr>BMI</vt:lpstr>
      <vt:lpstr>肥満判定度曲線</vt:lpstr>
      <vt:lpstr>頭囲</vt:lpstr>
      <vt:lpstr>胸囲</vt:lpstr>
      <vt:lpstr>成長曲線_データ</vt:lpstr>
      <vt:lpstr>StdBW</vt:lpstr>
      <vt:lpstr>肥満曲線_データ</vt:lpstr>
      <vt:lpstr>LMS</vt:lpstr>
      <vt:lpstr>成長曲線_男</vt:lpstr>
      <vt:lpstr>成長曲線_女</vt:lpstr>
      <vt:lpstr>頭囲データ</vt:lpstr>
      <vt:lpstr>頭囲_男</vt:lpstr>
      <vt:lpstr>頭囲_女</vt:lpstr>
      <vt:lpstr>胸囲データ</vt:lpstr>
      <vt:lpstr>胸囲_男</vt:lpstr>
      <vt:lpstr>胸囲_女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2015-09-13T11:56:12Z</cp:lastPrinted>
  <dcterms:created xsi:type="dcterms:W3CDTF">2006-09-13T11:12:02Z</dcterms:created>
  <dcterms:modified xsi:type="dcterms:W3CDTF">2018-10-27T21:39:09Z</dcterms:modified>
</cp:coreProperties>
</file>